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3995" windowHeight="7830"/>
  </bookViews>
  <sheets>
    <sheet name="유의사항" sheetId="7" r:id="rId1"/>
    <sheet name="입력" sheetId="2" r:id="rId2"/>
    <sheet name="산출결과" sheetId="4" r:id="rId3"/>
    <sheet name="건설사업관리기술인 노임가격" sheetId="5" r:id="rId4"/>
    <sheet name="투입인원수" sheetId="1" r:id="rId5"/>
    <sheet name="평균건설사업관리기간" sheetId="3" r:id="rId6"/>
    <sheet name="Sheet1" sheetId="6" r:id="rId7"/>
  </sheets>
  <definedNames>
    <definedName name="_xlnm.Print_Area" localSheetId="2">산출결과!$A$1:$E$10</definedName>
  </definedNames>
  <calcPr calcId="125725"/>
</workbook>
</file>

<file path=xl/calcChain.xml><?xml version="1.0" encoding="utf-8"?>
<calcChain xmlns="http://schemas.openxmlformats.org/spreadsheetml/2006/main">
  <c r="C5" i="4"/>
  <c r="C8" l="1"/>
  <c r="G8" s="1"/>
  <c r="M9" i="1"/>
  <c r="M8"/>
  <c r="L18"/>
  <c r="L67"/>
  <c r="L44"/>
  <c r="L35"/>
  <c r="L31"/>
  <c r="L25"/>
  <c r="L21"/>
  <c r="M72"/>
  <c r="M71"/>
  <c r="M69"/>
  <c r="M67"/>
  <c r="M66"/>
  <c r="M65"/>
  <c r="M63"/>
  <c r="M61"/>
  <c r="M59"/>
  <c r="M57"/>
  <c r="M55"/>
  <c r="M53"/>
  <c r="M51"/>
  <c r="M49"/>
  <c r="M47"/>
  <c r="M46"/>
  <c r="C10" i="3"/>
  <c r="C9"/>
  <c r="C8" l="1"/>
  <c r="C7"/>
  <c r="M77" i="1"/>
  <c r="M76"/>
  <c r="M75"/>
  <c r="M74"/>
  <c r="M43"/>
  <c r="N43" s="1"/>
  <c r="M42"/>
  <c r="N42" s="1"/>
  <c r="M41"/>
  <c r="N41" s="1"/>
  <c r="M40"/>
  <c r="N40" s="1"/>
  <c r="M39"/>
  <c r="N39" s="1"/>
  <c r="M38"/>
  <c r="N38" s="1"/>
  <c r="M37"/>
  <c r="M34"/>
  <c r="M33"/>
  <c r="M30"/>
  <c r="N30" s="1"/>
  <c r="M29"/>
  <c r="N29" s="1"/>
  <c r="M28"/>
  <c r="N28" s="1"/>
  <c r="M27"/>
  <c r="M24"/>
  <c r="M23"/>
  <c r="M20"/>
  <c r="M19"/>
  <c r="M18"/>
  <c r="M17"/>
  <c r="M16"/>
  <c r="M15"/>
  <c r="M14"/>
  <c r="N14" s="1"/>
  <c r="M13"/>
  <c r="N13" s="1"/>
  <c r="M12"/>
  <c r="M11"/>
  <c r="M44"/>
  <c r="N44" s="1"/>
  <c r="M35"/>
  <c r="M31"/>
  <c r="M25"/>
  <c r="N25" s="1"/>
  <c r="M21"/>
  <c r="N21" s="1"/>
  <c r="M7"/>
  <c r="M6"/>
  <c r="M5"/>
  <c r="L77"/>
  <c r="L76"/>
  <c r="L75"/>
  <c r="L74"/>
  <c r="L66"/>
  <c r="L65"/>
  <c r="L34"/>
  <c r="L33"/>
  <c r="L24"/>
  <c r="L23"/>
  <c r="L16"/>
  <c r="L15"/>
  <c r="L11"/>
  <c r="L46"/>
  <c r="L43"/>
  <c r="L42"/>
  <c r="L41"/>
  <c r="L40"/>
  <c r="L39"/>
  <c r="L38"/>
  <c r="L37"/>
  <c r="L30"/>
  <c r="L29"/>
  <c r="L28"/>
  <c r="L27"/>
  <c r="L20"/>
  <c r="L19"/>
  <c r="N16" l="1"/>
  <c r="N11"/>
  <c r="N27"/>
  <c r="N15"/>
  <c r="N77"/>
  <c r="N33"/>
  <c r="C11" i="3"/>
  <c r="N75" i="1"/>
  <c r="N18"/>
  <c r="N24"/>
  <c r="N23"/>
  <c r="N35"/>
  <c r="N76"/>
  <c r="N37"/>
  <c r="N66"/>
  <c r="N65"/>
  <c r="N67"/>
  <c r="N19"/>
  <c r="N34"/>
  <c r="N74"/>
  <c r="N46"/>
  <c r="N20"/>
  <c r="N31"/>
  <c r="L17"/>
  <c r="N17" s="1"/>
  <c r="L14"/>
  <c r="L13"/>
  <c r="L12"/>
  <c r="N12" s="1"/>
  <c r="L7"/>
  <c r="N7" s="1"/>
  <c r="L6"/>
  <c r="N6" s="1"/>
  <c r="L5"/>
  <c r="N5" s="1"/>
  <c r="C12" i="3" l="1"/>
  <c r="L8" i="1" l="1"/>
  <c r="N8" s="1"/>
  <c r="L9"/>
  <c r="N9" s="1"/>
  <c r="L57"/>
  <c r="N57" s="1"/>
  <c r="L49"/>
  <c r="N49" s="1"/>
  <c r="L61"/>
  <c r="N61" s="1"/>
  <c r="L69"/>
  <c r="N69" s="1"/>
  <c r="L59"/>
  <c r="N59" s="1"/>
  <c r="L51"/>
  <c r="N51" s="1"/>
  <c r="L53"/>
  <c r="N53" s="1"/>
  <c r="L72"/>
  <c r="N72" s="1"/>
  <c r="L63"/>
  <c r="N63" s="1"/>
  <c r="L55"/>
  <c r="N55" s="1"/>
  <c r="L47"/>
  <c r="N47" s="1"/>
  <c r="L71"/>
  <c r="N71" s="1"/>
  <c r="N78" l="1"/>
  <c r="C4" i="4" s="1"/>
  <c r="C6" l="1"/>
  <c r="G4"/>
  <c r="G6" s="1"/>
  <c r="G7" s="1"/>
  <c r="C7" l="1"/>
  <c r="C9" s="1"/>
  <c r="G5"/>
  <c r="C10" l="1"/>
  <c r="C11" s="1"/>
  <c r="C12" s="1"/>
  <c r="G9" l="1"/>
  <c r="G10" l="1"/>
  <c r="G11" s="1"/>
  <c r="G12" l="1"/>
</calcChain>
</file>

<file path=xl/sharedStrings.xml><?xml version="1.0" encoding="utf-8"?>
<sst xmlns="http://schemas.openxmlformats.org/spreadsheetml/2006/main" count="432" uniqueCount="174">
  <si>
    <t>업무분류체계</t>
  </si>
  <si>
    <t>단위</t>
  </si>
  <si>
    <t>기준인원수(인･일)</t>
  </si>
  <si>
    <t>단계</t>
  </si>
  <si>
    <t>기본업무</t>
  </si>
  <si>
    <t>고급</t>
  </si>
  <si>
    <t>공통 업무</t>
  </si>
  <si>
    <t>과업착수준비</t>
  </si>
  <si>
    <t>식</t>
  </si>
  <si>
    <t>건설사업관리 절차서 작성ㆍ운영</t>
  </si>
  <si>
    <t>작업분류체계 및 사업번호체계 관리, 사업정보축적ㆍ관리</t>
  </si>
  <si>
    <t>사업정보관리시스템의 운영</t>
  </si>
  <si>
    <t>운영</t>
  </si>
  <si>
    <t>일수</t>
  </si>
  <si>
    <t>클레임 사전분석</t>
  </si>
  <si>
    <t>최종 건설사업관리 보고</t>
  </si>
  <si>
    <t>1)시공전 단계</t>
  </si>
  <si>
    <t>2)시공 이후 단계</t>
  </si>
  <si>
    <t>건설기술용역업체 선정</t>
  </si>
  <si>
    <t>사업타당성조사보고서의 적정성 검토</t>
  </si>
  <si>
    <t>기본계획보고서의 적정성 검토</t>
  </si>
  <si>
    <t>관리기준공정계획수립</t>
  </si>
  <si>
    <t>총사업비 집행계획수립지원(종합예산게획서)</t>
  </si>
  <si>
    <t>기본 설계 단계</t>
  </si>
  <si>
    <t>기본설계 설계자 선정업무 지원</t>
  </si>
  <si>
    <t>기본설계 조정 및 연계성 검토</t>
  </si>
  <si>
    <t>용역</t>
  </si>
  <si>
    <t>개월</t>
  </si>
  <si>
    <t>기본설계단계의 예산검증 및 조정업무</t>
  </si>
  <si>
    <t>기본설계의 경제성(VE) 검토</t>
  </si>
  <si>
    <t>기본설계용역성과검토</t>
  </si>
  <si>
    <t>기본설계 용역 기성 및 준공검사관리</t>
  </si>
  <si>
    <t>회</t>
  </si>
  <si>
    <t>각종 인허가 및 관계기관협의 지원</t>
  </si>
  <si>
    <t>실시 설계 단계</t>
  </si>
  <si>
    <t>실시설계 설계자 선정업무 지원</t>
  </si>
  <si>
    <t>실시설계 조정 및 연계성 검토</t>
  </si>
  <si>
    <t>실시설계단계의 예산검증 및 조정업무</t>
  </si>
  <si>
    <t>실시설계의 경제성(VE) 검토</t>
  </si>
  <si>
    <t>실시설계용역성과검토</t>
  </si>
  <si>
    <t>실시설계 용역 기성 및 준공검사관리</t>
  </si>
  <si>
    <t>지급자재 조달 및 관리계획 수립</t>
  </si>
  <si>
    <t>시공자 선정계획수립</t>
  </si>
  <si>
    <t>구매 조달 단계</t>
  </si>
  <si>
    <t>입찰업무지원</t>
  </si>
  <si>
    <t>계약업무지원</t>
  </si>
  <si>
    <t>지급자재조달지원</t>
  </si>
  <si>
    <t>공사</t>
  </si>
  <si>
    <t>시공 단계</t>
  </si>
  <si>
    <t>공사착수</t>
  </si>
  <si>
    <t>사용자재의 적정성 검토</t>
  </si>
  <si>
    <t>품질시험 및 성과검토</t>
  </si>
  <si>
    <t>시공계획검토</t>
  </si>
  <si>
    <t>기술검토 및 교육</t>
  </si>
  <si>
    <t>공정관리</t>
  </si>
  <si>
    <t xml:space="preserve">안전관리 </t>
  </si>
  <si>
    <t>환경관리</t>
  </si>
  <si>
    <t>설계변경 관리</t>
  </si>
  <si>
    <t>기성검사</t>
  </si>
  <si>
    <t>준공검사</t>
  </si>
  <si>
    <t>계약자간 시공인터페이스 조정</t>
  </si>
  <si>
    <t>년수</t>
  </si>
  <si>
    <t>시공단계의 예산검증 및 지원</t>
  </si>
  <si>
    <t>일반행정업무</t>
  </si>
  <si>
    <t>종합시운전계획의 검토 및 시운전 확인</t>
  </si>
  <si>
    <t>시설물 유지관리지침서 검토</t>
  </si>
  <si>
    <t>시설물유지관리 업체 선정</t>
  </si>
  <si>
    <t>시설물의 인수ㆍ인계 계획 검토 및 관련업무 지원</t>
  </si>
  <si>
    <t>보정계수</t>
  </si>
  <si>
    <t>난이도</t>
  </si>
  <si>
    <t>a</t>
  </si>
  <si>
    <t>b</t>
  </si>
  <si>
    <t>c</t>
  </si>
  <si>
    <t>○</t>
  </si>
  <si>
    <t>신축</t>
  </si>
  <si>
    <t>미적용</t>
  </si>
  <si>
    <t>시공후
단계</t>
    <phoneticPr fontId="2" type="noConversion"/>
  </si>
  <si>
    <t>설계전
단계</t>
    <phoneticPr fontId="2" type="noConversion"/>
  </si>
  <si>
    <t>설계전
단계</t>
    <phoneticPr fontId="2" type="noConversion"/>
  </si>
  <si>
    <t>시공후
단계</t>
    <phoneticPr fontId="2" type="noConversion"/>
  </si>
  <si>
    <t>O</t>
  </si>
  <si>
    <t>총 공사비</t>
    <phoneticPr fontId="2" type="noConversion"/>
  </si>
  <si>
    <t>(억원)</t>
    <phoneticPr fontId="2" type="noConversion"/>
  </si>
  <si>
    <t>건축용도</t>
    <phoneticPr fontId="2" type="noConversion"/>
  </si>
  <si>
    <t>공사성격</t>
    <phoneticPr fontId="2" type="noConversion"/>
  </si>
  <si>
    <t>BIM 적용여부</t>
    <phoneticPr fontId="2" type="noConversion"/>
  </si>
  <si>
    <t>건설사업관리기간</t>
    <phoneticPr fontId="2" type="noConversion"/>
  </si>
  <si>
    <t>(개월)</t>
    <phoneticPr fontId="2" type="noConversion"/>
  </si>
  <si>
    <t>골조공사비</t>
    <phoneticPr fontId="2" type="noConversion"/>
  </si>
  <si>
    <t>(억원)</t>
    <phoneticPr fontId="2" type="noConversion"/>
  </si>
  <si>
    <t>직접경비</t>
    <phoneticPr fontId="2" type="noConversion"/>
  </si>
  <si>
    <t>(원)</t>
    <phoneticPr fontId="2" type="noConversion"/>
  </si>
  <si>
    <t>제경비요율</t>
    <phoneticPr fontId="2" type="noConversion"/>
  </si>
  <si>
    <t>기술료요율</t>
    <phoneticPr fontId="2" type="noConversion"/>
  </si>
  <si>
    <t>추가업무비용</t>
    <phoneticPr fontId="2" type="noConversion"/>
  </si>
  <si>
    <t>구 분</t>
    <phoneticPr fontId="2" type="noConversion"/>
  </si>
  <si>
    <t>내 용</t>
    <phoneticPr fontId="2" type="noConversion"/>
  </si>
  <si>
    <t>해당여부</t>
    <phoneticPr fontId="2" type="noConversion"/>
  </si>
  <si>
    <t>평균건설사업관리기간(개월)</t>
    <phoneticPr fontId="2" type="noConversion"/>
  </si>
  <si>
    <t>건설사업관리기간 보정계수</t>
    <phoneticPr fontId="2" type="noConversion"/>
  </si>
  <si>
    <t>구 분</t>
    <phoneticPr fontId="2" type="noConversion"/>
  </si>
  <si>
    <t>공사비(억원)</t>
    <phoneticPr fontId="2" type="noConversion"/>
  </si>
  <si>
    <t>1,000 이상</t>
    <phoneticPr fontId="2" type="noConversion"/>
  </si>
  <si>
    <t>x1</t>
    <phoneticPr fontId="2" type="noConversion"/>
  </si>
  <si>
    <t>x2</t>
    <phoneticPr fontId="2" type="noConversion"/>
  </si>
  <si>
    <t>y1</t>
    <phoneticPr fontId="2" type="noConversion"/>
  </si>
  <si>
    <t>y2</t>
    <phoneticPr fontId="2" type="noConversion"/>
  </si>
  <si>
    <t>합  계</t>
    <phoneticPr fontId="2" type="noConversion"/>
  </si>
  <si>
    <t>적용
수량</t>
    <phoneticPr fontId="2" type="noConversion"/>
  </si>
  <si>
    <t>투입인원수 산정</t>
    <phoneticPr fontId="2" type="noConversion"/>
  </si>
  <si>
    <t>해당
여부</t>
    <phoneticPr fontId="2" type="noConversion"/>
  </si>
  <si>
    <t>투입인원수</t>
    <phoneticPr fontId="2" type="noConversion"/>
  </si>
  <si>
    <t>보정계수 a</t>
    <phoneticPr fontId="2" type="noConversion"/>
  </si>
  <si>
    <t>보정계수 b</t>
    <phoneticPr fontId="2" type="noConversion"/>
  </si>
  <si>
    <t>보정계수 c</t>
    <phoneticPr fontId="2" type="noConversion"/>
  </si>
  <si>
    <t>금 액 (원)</t>
    <phoneticPr fontId="2" type="noConversion"/>
  </si>
  <si>
    <t>비 고</t>
    <phoneticPr fontId="2" type="noConversion"/>
  </si>
  <si>
    <t>직접인건비</t>
    <phoneticPr fontId="2" type="noConversion"/>
  </si>
  <si>
    <t>제경비</t>
    <phoneticPr fontId="2" type="noConversion"/>
  </si>
  <si>
    <t>기술료</t>
    <phoneticPr fontId="2" type="noConversion"/>
  </si>
  <si>
    <t>합 계
(용역대가)</t>
    <phoneticPr fontId="2" type="noConversion"/>
  </si>
  <si>
    <t>구 분</t>
    <phoneticPr fontId="2" type="noConversion"/>
  </si>
  <si>
    <t>연 도</t>
    <phoneticPr fontId="2" type="noConversion"/>
  </si>
  <si>
    <t>고 급</t>
    <phoneticPr fontId="2" type="noConversion"/>
  </si>
  <si>
    <t>건설사업관리 절차서 작성ㆍ운영</t>
    <phoneticPr fontId="2" type="noConversion"/>
  </si>
  <si>
    <t>건설사업관리 업무수행계획서 작성ㆍ운영</t>
    <phoneticPr fontId="2" type="noConversion"/>
  </si>
  <si>
    <t>발주방식 결정 지원</t>
    <phoneticPr fontId="2" type="noConversion"/>
  </si>
  <si>
    <t>기본설계단계의 기술자문회의 운영 및 관리ㆍ지원</t>
    <phoneticPr fontId="2" type="noConversion"/>
  </si>
  <si>
    <t>실시설계단계의 기술자문회의 운영 및 관리ㆍ지원</t>
    <phoneticPr fontId="2" type="noConversion"/>
  </si>
  <si>
    <t>시공성과확인 및 검측업무</t>
    <phoneticPr fontId="2" type="noConversion"/>
  </si>
  <si>
    <t>하도급적정성검토</t>
    <phoneticPr fontId="2" type="noConversion"/>
  </si>
  <si>
    <t>건설사업관리 업무수행계획서 작성ㆍ운영</t>
  </si>
  <si>
    <t>발주방식 결정 지원</t>
  </si>
  <si>
    <t>기본설계단계의 기술자문회의 운영 및 관리ㆍ지원</t>
  </si>
  <si>
    <t>실시설계단계의 기술자문회의 운영 및 관리ㆍ지원</t>
  </si>
  <si>
    <t>시공성과확인 및 검측업무</t>
  </si>
  <si>
    <t>하도급적정성검토</t>
  </si>
  <si>
    <t>10 이하</t>
    <phoneticPr fontId="2" type="noConversion"/>
  </si>
  <si>
    <t>감독 권한대행 수행여부</t>
    <phoneticPr fontId="2" type="noConversion"/>
  </si>
  <si>
    <t>(시공단계)</t>
    <phoneticPr fontId="2" type="noConversion"/>
  </si>
  <si>
    <t>X</t>
  </si>
  <si>
    <t>손해배상보험료</t>
    <phoneticPr fontId="2" type="noConversion"/>
  </si>
  <si>
    <t>부가세</t>
    <phoneticPr fontId="2" type="noConversion"/>
  </si>
  <si>
    <t>중간합계</t>
    <phoneticPr fontId="2" type="noConversion"/>
  </si>
  <si>
    <t>중간합계의 10%적용</t>
    <phoneticPr fontId="2" type="noConversion"/>
  </si>
  <si>
    <t>금 액 (원)</t>
    <phoneticPr fontId="2" type="noConversion"/>
  </si>
  <si>
    <t>공사 개요</t>
    <phoneticPr fontId="2" type="noConversion"/>
  </si>
  <si>
    <t>평균건설사업관리기간(개월)</t>
    <phoneticPr fontId="2" type="noConversion"/>
  </si>
  <si>
    <t>건설사업관리기간보정계수</t>
    <phoneticPr fontId="2" type="noConversion"/>
  </si>
  <si>
    <t>단 위</t>
    <phoneticPr fontId="2" type="noConversion"/>
  </si>
  <si>
    <t>손해배상보험 요율</t>
    <phoneticPr fontId="2" type="noConversion"/>
  </si>
  <si>
    <t>1. 본 엑셀은 협회 내부에서 회원들의 편의증진을 위하여 작성된 것으로, 타 기관과 협의한 내용이 아닙니다. 따라서, 본 엑셀을 참고용으로만 써주시기 바랍니다.</t>
    <phoneticPr fontId="2" type="noConversion"/>
  </si>
  <si>
    <t>유의 사항</t>
    <phoneticPr fontId="2" type="noConversion"/>
  </si>
  <si>
    <r>
      <t>3-1.  진한연두색(</t>
    </r>
    <r>
      <rPr>
        <sz val="11"/>
        <color theme="6" tint="-0.249977111117893"/>
        <rFont val="맑은 고딕"/>
        <family val="3"/>
        <charset val="129"/>
        <scheme val="minor"/>
      </rPr>
      <t>■</t>
    </r>
    <r>
      <rPr>
        <sz val="11"/>
        <color theme="1"/>
        <rFont val="맑은 고딕"/>
        <family val="2"/>
        <charset val="129"/>
        <scheme val="minor"/>
      </rPr>
      <t>) 칸에  값을 입력하여 주십시오.</t>
    </r>
    <phoneticPr fontId="2" type="noConversion"/>
  </si>
  <si>
    <t>3. "입력"Sheet 관련</t>
    <phoneticPr fontId="2" type="noConversion"/>
  </si>
  <si>
    <t>4.  "산출결과"Sheet 관련</t>
    <phoneticPr fontId="2" type="noConversion"/>
  </si>
  <si>
    <t>4-1. 총 결과는 '산출결과'Sheet에서 확인하시면 됩니다.</t>
    <phoneticPr fontId="2" type="noConversion"/>
  </si>
  <si>
    <r>
      <rPr>
        <b/>
        <sz val="8"/>
        <color theme="1"/>
        <rFont val="맑은 고딕"/>
        <family val="3"/>
        <charset val="129"/>
        <scheme val="minor"/>
      </rPr>
      <t>건설기술용역 대가 등에 관한 기준에 따른</t>
    </r>
    <r>
      <rPr>
        <b/>
        <sz val="11"/>
        <color theme="1"/>
        <rFont val="맑은 고딕"/>
        <family val="3"/>
        <charset val="129"/>
        <scheme val="minor"/>
      </rPr>
      <t xml:space="preserve">
건축분야 용역대가 산정</t>
    </r>
    <r>
      <rPr>
        <b/>
        <sz val="12"/>
        <color theme="1"/>
        <rFont val="맑은 고딕"/>
        <family val="3"/>
        <charset val="129"/>
        <scheme val="minor"/>
      </rPr>
      <t xml:space="preserve">
(감독 권한대행 등 건설사업관리를 하는 경우)</t>
    </r>
    <phoneticPr fontId="2" type="noConversion"/>
  </si>
  <si>
    <r>
      <rPr>
        <b/>
        <sz val="8"/>
        <color theme="1"/>
        <rFont val="맑은 고딕"/>
        <family val="3"/>
        <charset val="129"/>
        <scheme val="minor"/>
      </rPr>
      <t>건설기술용역 대가 등에 관한 기준에 따른</t>
    </r>
    <r>
      <rPr>
        <b/>
        <sz val="11"/>
        <color theme="1"/>
        <rFont val="맑은 고딕"/>
        <family val="3"/>
        <charset val="129"/>
        <scheme val="minor"/>
      </rPr>
      <t xml:space="preserve">
건축분야 용역대가 산정</t>
    </r>
    <r>
      <rPr>
        <b/>
        <sz val="12"/>
        <color theme="1"/>
        <rFont val="맑은 고딕"/>
        <family val="3"/>
        <charset val="129"/>
        <scheme val="minor"/>
      </rPr>
      <t xml:space="preserve">
</t>
    </r>
    <r>
      <rPr>
        <b/>
        <sz val="12"/>
        <rFont val="맑은 고딕"/>
        <family val="3"/>
        <charset val="129"/>
        <scheme val="minor"/>
      </rPr>
      <t>(감독 권한대행 등 건설사업관리를 하지 않는 경우)</t>
    </r>
    <phoneticPr fontId="2" type="noConversion"/>
  </si>
  <si>
    <t>3-2. '손해배상요율'은 '건축사공제조합'홈페이지(https://www.cafco.kr/)에 나온 손해배상 관련 요율표를 참고하여 공사종류에 맞는 요율을 기입하여주시기 바랍니다.</t>
    <phoneticPr fontId="2" type="noConversion"/>
  </si>
  <si>
    <r>
      <t>4-2. 감독권한대행 여부에 따라 값이 다른 점, 참고하여 주시기 바랍니다.</t>
    </r>
    <r>
      <rPr>
        <sz val="9"/>
        <color theme="1"/>
        <rFont val="맑은 고딕"/>
        <family val="3"/>
        <charset val="129"/>
        <scheme val="minor"/>
      </rPr>
      <t xml:space="preserve"> (감독권한대행 등 건설관리공사가 아닐 경우, 투입인원수의 20%를 감소함 ([별표2] 건설사업관리기술인 배치기준 참고))</t>
    </r>
    <phoneticPr fontId="2" type="noConversion"/>
  </si>
  <si>
    <r>
      <t>3. 투입인원수는 고급기술자를 기준으로 하며, 노임가격은 '한국건설엔지니어링협회'에서 공표한 '건설사업관리기술인 노임가격'을 기준으로 합니다.</t>
    </r>
    <r>
      <rPr>
        <sz val="9"/>
        <color theme="1"/>
        <rFont val="맑은 고딕"/>
        <family val="3"/>
        <charset val="129"/>
        <scheme val="minor"/>
      </rPr>
      <t xml:space="preserve"> ([별표2] 건설사업관리기술인 배치기준 참고))</t>
    </r>
    <phoneticPr fontId="2" type="noConversion"/>
  </si>
  <si>
    <t>보통공종</t>
  </si>
  <si>
    <t>필요시 작성</t>
    <phoneticPr fontId="2" type="noConversion"/>
  </si>
  <si>
    <t>건축사공제조합 요율표 확인</t>
    <phoneticPr fontId="2" type="noConversion"/>
  </si>
  <si>
    <t>비고</t>
    <phoneticPr fontId="2" type="noConversion"/>
  </si>
  <si>
    <t>(110~120)% 중 선택</t>
    <phoneticPr fontId="2" type="noConversion"/>
  </si>
  <si>
    <t>(20~40)% 중 선택</t>
    <phoneticPr fontId="2" type="noConversion"/>
  </si>
  <si>
    <t>%</t>
    <phoneticPr fontId="2" type="noConversion"/>
  </si>
  <si>
    <t>해당여부 칸에서 'O' 또는 'X' 를 선택하십시오</t>
    <phoneticPr fontId="2" type="noConversion"/>
  </si>
  <si>
    <t>직접입력</t>
    <phoneticPr fontId="2" type="noConversion"/>
  </si>
  <si>
    <t>선택</t>
    <phoneticPr fontId="2" type="noConversion"/>
  </si>
  <si>
    <r>
      <t xml:space="preserve">2. 본 자료는 </t>
    </r>
    <r>
      <rPr>
        <sz val="11"/>
        <color theme="1"/>
        <rFont val="맑은 고딕"/>
        <family val="3"/>
        <charset val="129"/>
      </rPr>
      <t>「</t>
    </r>
    <r>
      <rPr>
        <sz val="11"/>
        <color theme="1"/>
        <rFont val="맑은 고딕"/>
        <family val="2"/>
        <charset val="129"/>
        <scheme val="minor"/>
      </rPr>
      <t>건설엔지니어링 대가 등에 관한 기준」에 나온 '[별표2] 건설사업관리기술인 배치기준'을 기준으로 만든 자료입니다.</t>
    </r>
    <phoneticPr fontId="2" type="noConversion"/>
  </si>
  <si>
    <t>3-3. '추가업무비용'은 발주청이 특별히 요구하는 경우에 소요되는 비용으로서 「건설엔지니어링 대가 등에 관한 기준」 제14조를 참고하시기 바랍니다.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</si>
</sst>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_ "/>
    <numFmt numFmtId="178" formatCode="#,##0.00_ "/>
    <numFmt numFmtId="179" formatCode="#,##0_);[Red]\(#,##0\)"/>
    <numFmt numFmtId="180" formatCode="0.0_);[Red]\(0.0\)"/>
    <numFmt numFmtId="181" formatCode="0.00_);[Red]\(0.00\)"/>
    <numFmt numFmtId="182" formatCode="0.000_);[Red]\(0.000\)"/>
  </numFmts>
  <fonts count="25">
    <font>
      <sz val="11"/>
      <color theme="1"/>
      <name val="맑은 고딕"/>
      <family val="2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b/>
      <sz val="8"/>
      <color rgb="FF0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9"/>
      <color theme="1"/>
      <name val="맑은 고딕"/>
      <family val="2"/>
      <charset val="129"/>
      <scheme val="minor"/>
    </font>
    <font>
      <sz val="10"/>
      <color theme="6" tint="-0.249977111117893"/>
      <name val="맑은 고딕"/>
      <family val="3"/>
      <charset val="129"/>
      <scheme val="minor"/>
    </font>
    <font>
      <b/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color theme="6" tint="-0.249977111117893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5" fillId="3" borderId="22" applyNumberFormat="0" applyAlignment="0" applyProtection="0">
      <alignment vertical="center"/>
    </xf>
  </cellStyleXfs>
  <cellXfs count="19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8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177" fontId="5" fillId="0" borderId="13" xfId="0" applyNumberFormat="1" applyFont="1" applyBorder="1">
      <alignment vertical="center"/>
    </xf>
    <xf numFmtId="0" fontId="5" fillId="0" borderId="13" xfId="0" applyFont="1" applyBorder="1">
      <alignment vertical="center"/>
    </xf>
    <xf numFmtId="177" fontId="5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177" fontId="12" fillId="0" borderId="13" xfId="0" applyNumberFormat="1" applyFont="1" applyBorder="1">
      <alignment vertical="center"/>
    </xf>
    <xf numFmtId="0" fontId="12" fillId="0" borderId="0" xfId="0" applyFont="1">
      <alignment vertical="center"/>
    </xf>
    <xf numFmtId="177" fontId="12" fillId="0" borderId="0" xfId="0" applyNumberFormat="1" applyFont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7" fontId="5" fillId="0" borderId="13" xfId="0" applyNumberFormat="1" applyFont="1" applyFill="1" applyBorder="1">
      <alignment vertical="center"/>
    </xf>
    <xf numFmtId="177" fontId="12" fillId="0" borderId="13" xfId="0" applyNumberFormat="1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12" fillId="0" borderId="13" xfId="0" applyFont="1" applyFill="1" applyBorder="1">
      <alignment vertical="center"/>
    </xf>
    <xf numFmtId="0" fontId="0" fillId="0" borderId="0" xfId="0" applyFill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179" fontId="10" fillId="2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3" xfId="0" applyFont="1" applyFill="1" applyBorder="1" applyAlignment="1">
      <alignment vertical="center" wrapText="1"/>
    </xf>
    <xf numFmtId="0" fontId="16" fillId="0" borderId="24" xfId="0" applyFont="1" applyFill="1" applyBorder="1" applyAlignment="1">
      <alignment vertical="center" wrapText="1"/>
    </xf>
    <xf numFmtId="179" fontId="10" fillId="0" borderId="19" xfId="0" applyNumberFormat="1" applyFont="1" applyFill="1" applyBorder="1" applyAlignment="1">
      <alignment horizontal="center" vertical="center"/>
    </xf>
    <xf numFmtId="179" fontId="10" fillId="0" borderId="13" xfId="0" applyNumberFormat="1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/>
    </xf>
    <xf numFmtId="179" fontId="11" fillId="6" borderId="13" xfId="0" applyNumberFormat="1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179" fontId="10" fillId="0" borderId="18" xfId="0" applyNumberFormat="1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vertical="center" wrapText="1"/>
    </xf>
    <xf numFmtId="0" fontId="7" fillId="6" borderId="13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179" fontId="10" fillId="0" borderId="25" xfId="0" applyNumberFormat="1" applyFont="1" applyFill="1" applyBorder="1" applyAlignment="1">
      <alignment horizontal="center" vertical="center"/>
    </xf>
    <xf numFmtId="179" fontId="10" fillId="0" borderId="15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0" borderId="26" xfId="0" applyFont="1" applyBorder="1">
      <alignment vertical="center"/>
    </xf>
    <xf numFmtId="0" fontId="0" fillId="0" borderId="0" xfId="0" applyAlignment="1">
      <alignment horizontal="left" vertical="center"/>
    </xf>
    <xf numFmtId="0" fontId="9" fillId="4" borderId="10" xfId="0" applyFont="1" applyFill="1" applyBorder="1" applyAlignment="1">
      <alignment horizontal="center" vertical="center" wrapText="1"/>
    </xf>
    <xf numFmtId="177" fontId="7" fillId="4" borderId="13" xfId="0" applyNumberFormat="1" applyFont="1" applyFill="1" applyBorder="1" applyAlignment="1">
      <alignment horizontal="center" vertical="center"/>
    </xf>
    <xf numFmtId="177" fontId="7" fillId="6" borderId="13" xfId="0" applyNumberFormat="1" applyFont="1" applyFill="1" applyBorder="1">
      <alignment vertical="center"/>
    </xf>
    <xf numFmtId="0" fontId="7" fillId="4" borderId="13" xfId="0" applyFont="1" applyFill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0" fillId="0" borderId="28" xfId="0" applyBorder="1">
      <alignment vertical="center"/>
    </xf>
    <xf numFmtId="0" fontId="0" fillId="0" borderId="0" xfId="0" applyAlignment="1">
      <alignment horizontal="left" vertical="center" wrapText="1"/>
    </xf>
    <xf numFmtId="0" fontId="5" fillId="0" borderId="19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18" xfId="0" applyFont="1" applyFill="1" applyBorder="1">
      <alignment vertical="center"/>
    </xf>
    <xf numFmtId="0" fontId="0" fillId="0" borderId="0" xfId="0" applyFill="1" applyBorder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180" fontId="0" fillId="0" borderId="0" xfId="0" applyNumberFormat="1">
      <alignment vertical="center"/>
    </xf>
    <xf numFmtId="180" fontId="7" fillId="4" borderId="13" xfId="0" applyNumberFormat="1" applyFont="1" applyFill="1" applyBorder="1" applyAlignment="1">
      <alignment horizontal="center" vertical="center"/>
    </xf>
    <xf numFmtId="180" fontId="5" fillId="5" borderId="19" xfId="0" applyNumberFormat="1" applyFont="1" applyFill="1" applyBorder="1" applyAlignment="1" applyProtection="1">
      <alignment horizontal="right" vertical="center"/>
      <protection locked="0"/>
    </xf>
    <xf numFmtId="180" fontId="5" fillId="5" borderId="20" xfId="0" applyNumberFormat="1" applyFont="1" applyFill="1" applyBorder="1" applyAlignment="1" applyProtection="1">
      <alignment horizontal="right" vertical="center"/>
      <protection locked="0"/>
    </xf>
    <xf numFmtId="180" fontId="5" fillId="0" borderId="21" xfId="0" applyNumberFormat="1" applyFont="1" applyBorder="1">
      <alignment vertical="center"/>
    </xf>
    <xf numFmtId="180" fontId="5" fillId="0" borderId="27" xfId="0" applyNumberFormat="1" applyFont="1" applyBorder="1">
      <alignment vertical="center"/>
    </xf>
    <xf numFmtId="180" fontId="0" fillId="0" borderId="28" xfId="0" applyNumberFormat="1" applyBorder="1">
      <alignment vertical="center"/>
    </xf>
    <xf numFmtId="180" fontId="5" fillId="5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>
      <alignment horizontal="center" vertical="center"/>
    </xf>
    <xf numFmtId="179" fontId="5" fillId="5" borderId="18" xfId="0" applyNumberFormat="1" applyFont="1" applyFill="1" applyBorder="1" applyProtection="1">
      <alignment vertical="center"/>
      <protection locked="0"/>
    </xf>
    <xf numFmtId="179" fontId="5" fillId="5" borderId="19" xfId="0" applyNumberFormat="1" applyFont="1" applyFill="1" applyBorder="1" applyProtection="1">
      <alignment vertical="center"/>
      <protection locked="0"/>
    </xf>
    <xf numFmtId="181" fontId="5" fillId="5" borderId="19" xfId="0" applyNumberFormat="1" applyFont="1" applyFill="1" applyBorder="1" applyProtection="1">
      <alignment vertical="center"/>
      <protection locked="0"/>
    </xf>
    <xf numFmtId="181" fontId="5" fillId="5" borderId="20" xfId="0" applyNumberFormat="1" applyFont="1" applyFill="1" applyBorder="1" applyProtection="1">
      <alignment vertical="center"/>
      <protection locked="0"/>
    </xf>
    <xf numFmtId="181" fontId="5" fillId="5" borderId="18" xfId="0" applyNumberFormat="1" applyFont="1" applyFill="1" applyBorder="1" applyProtection="1">
      <alignment vertical="center"/>
      <protection locked="0"/>
    </xf>
    <xf numFmtId="181" fontId="5" fillId="5" borderId="26" xfId="0" applyNumberFormat="1" applyFont="1" applyFill="1" applyBorder="1" applyProtection="1">
      <alignment vertical="center"/>
      <protection locked="0"/>
    </xf>
    <xf numFmtId="176" fontId="16" fillId="0" borderId="25" xfId="0" applyNumberFormat="1" applyFont="1" applyFill="1" applyBorder="1" applyAlignment="1">
      <alignment horizontal="center" vertical="center"/>
    </xf>
    <xf numFmtId="182" fontId="5" fillId="5" borderId="20" xfId="0" applyNumberFormat="1" applyFont="1" applyFill="1" applyBorder="1" applyProtection="1">
      <alignment vertical="center"/>
      <protection locked="0"/>
    </xf>
    <xf numFmtId="0" fontId="16" fillId="0" borderId="0" xfId="0" applyFont="1" applyAlignment="1">
      <alignment horizontal="right"/>
    </xf>
    <xf numFmtId="0" fontId="0" fillId="0" borderId="0" xfId="0" applyAlignment="1">
      <alignment horizontal="left" vertical="center" wrapText="1"/>
    </xf>
    <xf numFmtId="0" fontId="22" fillId="7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9" fillId="4" borderId="16" xfId="1" applyFont="1" applyFill="1" applyBorder="1" applyAlignment="1">
      <alignment horizontal="center" vertical="center"/>
    </xf>
    <xf numFmtId="0" fontId="19" fillId="4" borderId="21" xfId="1" applyFont="1" applyFill="1" applyBorder="1" applyAlignment="1">
      <alignment horizontal="center" vertical="center"/>
    </xf>
    <xf numFmtId="0" fontId="19" fillId="4" borderId="17" xfId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177" fontId="5" fillId="0" borderId="13" xfId="0" applyNumberFormat="1" applyFont="1" applyFill="1" applyBorder="1" applyAlignment="1">
      <alignment horizontal="right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177" fontId="12" fillId="0" borderId="13" xfId="0" applyNumberFormat="1" applyFont="1" applyFill="1" applyBorder="1" applyAlignment="1">
      <alignment horizontal="right" vertical="center"/>
    </xf>
    <xf numFmtId="177" fontId="7" fillId="4" borderId="13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right" vertical="center"/>
    </xf>
    <xf numFmtId="0" fontId="7" fillId="4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177" fontId="7" fillId="6" borderId="16" xfId="0" applyNumberFormat="1" applyFont="1" applyFill="1" applyBorder="1" applyAlignment="1">
      <alignment horizontal="center" vertical="center"/>
    </xf>
    <xf numFmtId="177" fontId="7" fillId="6" borderId="17" xfId="0" applyNumberFormat="1" applyFont="1" applyFill="1" applyBorder="1" applyAlignment="1">
      <alignment horizontal="center" vertical="center"/>
    </xf>
    <xf numFmtId="177" fontId="5" fillId="0" borderId="14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right" vertical="center"/>
    </xf>
    <xf numFmtId="177" fontId="12" fillId="0" borderId="14" xfId="0" applyNumberFormat="1" applyFont="1" applyBorder="1" applyAlignment="1">
      <alignment horizontal="right" vertical="center"/>
    </xf>
    <xf numFmtId="177" fontId="12" fillId="0" borderId="15" xfId="0" applyNumberFormat="1" applyFont="1" applyBorder="1" applyAlignment="1">
      <alignment horizontal="right" vertical="center"/>
    </xf>
    <xf numFmtId="0" fontId="7" fillId="4" borderId="16" xfId="0" applyFont="1" applyFill="1" applyBorder="1" applyAlignment="1">
      <alignment horizontal="center" vertical="center" wrapText="1"/>
    </xf>
    <xf numFmtId="0" fontId="5" fillId="0" borderId="21" xfId="0" applyFont="1" applyBorder="1">
      <alignment vertical="center"/>
    </xf>
    <xf numFmtId="0" fontId="5" fillId="0" borderId="17" xfId="0" applyFont="1" applyBorder="1">
      <alignment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178" fontId="7" fillId="6" borderId="13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</cellXfs>
  <cellStyles count="2">
    <cellStyle name="계산" xfId="1" builtinId="22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8"/>
  <sheetViews>
    <sheetView tabSelected="1" workbookViewId="0">
      <selection activeCell="Q14" sqref="Q14"/>
    </sheetView>
  </sheetViews>
  <sheetFormatPr defaultRowHeight="16.5"/>
  <sheetData>
    <row r="2" spans="2:11" ht="16.5" customHeight="1">
      <c r="B2" s="110" t="s">
        <v>152</v>
      </c>
      <c r="C2" s="110"/>
      <c r="D2" s="110"/>
      <c r="E2" s="110"/>
      <c r="F2" s="110"/>
      <c r="G2" s="110"/>
      <c r="H2" s="110"/>
      <c r="I2" s="110"/>
      <c r="J2" s="110"/>
      <c r="K2" s="110"/>
    </row>
    <row r="3" spans="2:11" ht="16.5" customHeight="1"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5" spans="2:11" ht="34.5" customHeight="1">
      <c r="B5" s="109" t="s">
        <v>151</v>
      </c>
      <c r="C5" s="111"/>
      <c r="D5" s="111"/>
      <c r="E5" s="111"/>
      <c r="F5" s="111"/>
      <c r="G5" s="111"/>
      <c r="H5" s="111"/>
      <c r="I5" s="111"/>
      <c r="J5" s="111"/>
      <c r="K5" s="111"/>
    </row>
    <row r="7" spans="2:11" ht="16.5" customHeight="1">
      <c r="B7" s="109" t="s">
        <v>172</v>
      </c>
      <c r="C7" s="109"/>
      <c r="D7" s="109"/>
      <c r="E7" s="109"/>
      <c r="F7" s="109"/>
      <c r="G7" s="109"/>
      <c r="H7" s="109"/>
      <c r="I7" s="109"/>
      <c r="J7" s="109"/>
      <c r="K7" s="109"/>
    </row>
    <row r="8" spans="2:11">
      <c r="B8" s="109"/>
      <c r="C8" s="109"/>
      <c r="D8" s="109"/>
      <c r="E8" s="109"/>
      <c r="F8" s="109"/>
      <c r="G8" s="109"/>
      <c r="H8" s="109"/>
      <c r="I8" s="109"/>
      <c r="J8" s="109"/>
      <c r="K8" s="109"/>
    </row>
    <row r="9" spans="2:11"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2:11">
      <c r="B10" s="109" t="s">
        <v>161</v>
      </c>
      <c r="C10" s="109"/>
      <c r="D10" s="109"/>
      <c r="E10" s="109"/>
      <c r="F10" s="109"/>
      <c r="G10" s="109"/>
      <c r="H10" s="109"/>
      <c r="I10" s="109"/>
      <c r="J10" s="109"/>
      <c r="K10" s="109"/>
    </row>
    <row r="11" spans="2:11">
      <c r="B11" s="109"/>
      <c r="C11" s="109"/>
      <c r="D11" s="109"/>
      <c r="E11" s="109"/>
      <c r="F11" s="109"/>
      <c r="G11" s="109"/>
      <c r="H11" s="109"/>
      <c r="I11" s="109"/>
      <c r="J11" s="109"/>
      <c r="K11" s="109"/>
    </row>
    <row r="13" spans="2:11">
      <c r="B13" s="112" t="s">
        <v>154</v>
      </c>
      <c r="C13" s="112"/>
      <c r="D13" s="112"/>
      <c r="E13" s="112"/>
      <c r="F13" s="112"/>
      <c r="G13" s="112"/>
      <c r="H13" s="112"/>
      <c r="I13" s="112"/>
      <c r="J13" s="112"/>
      <c r="K13" s="112"/>
    </row>
    <row r="15" spans="2:11">
      <c r="C15" t="s">
        <v>153</v>
      </c>
    </row>
    <row r="17" spans="2:11" ht="16.5" customHeight="1">
      <c r="C17" s="109" t="s">
        <v>159</v>
      </c>
      <c r="D17" s="109"/>
      <c r="E17" s="109"/>
      <c r="F17" s="109"/>
      <c r="G17" s="109"/>
      <c r="H17" s="109"/>
      <c r="I17" s="109"/>
      <c r="J17" s="109"/>
      <c r="K17" s="109"/>
    </row>
    <row r="18" spans="2:11">
      <c r="C18" s="109"/>
      <c r="D18" s="109"/>
      <c r="E18" s="109"/>
      <c r="F18" s="109"/>
      <c r="G18" s="109"/>
      <c r="H18" s="109"/>
      <c r="I18" s="109"/>
      <c r="J18" s="109"/>
      <c r="K18" s="109"/>
    </row>
    <row r="19" spans="2:11">
      <c r="C19" s="83"/>
      <c r="D19" s="83"/>
      <c r="E19" s="83"/>
      <c r="F19" s="83"/>
      <c r="G19" s="83"/>
      <c r="H19" s="83"/>
      <c r="I19" s="83"/>
      <c r="J19" s="83"/>
      <c r="K19" s="83"/>
    </row>
    <row r="20" spans="2:11">
      <c r="C20" s="109" t="s">
        <v>173</v>
      </c>
      <c r="D20" s="109"/>
      <c r="E20" s="109"/>
      <c r="F20" s="109"/>
      <c r="G20" s="109"/>
      <c r="H20" s="109"/>
      <c r="I20" s="109"/>
      <c r="J20" s="109"/>
      <c r="K20" s="109"/>
    </row>
    <row r="21" spans="2:11">
      <c r="C21" s="109"/>
      <c r="D21" s="109"/>
      <c r="E21" s="109"/>
      <c r="F21" s="109"/>
      <c r="G21" s="109"/>
      <c r="H21" s="109"/>
      <c r="I21" s="109"/>
      <c r="J21" s="109"/>
      <c r="K21" s="109"/>
    </row>
    <row r="23" spans="2:11">
      <c r="B23" s="76" t="s">
        <v>155</v>
      </c>
      <c r="C23" s="76"/>
      <c r="D23" s="76"/>
      <c r="E23" s="76"/>
      <c r="F23" s="76"/>
      <c r="G23" s="76"/>
      <c r="H23" s="76"/>
      <c r="I23" s="76"/>
      <c r="J23" s="76"/>
      <c r="K23" s="76"/>
    </row>
    <row r="25" spans="2:11">
      <c r="C25" t="s">
        <v>156</v>
      </c>
    </row>
    <row r="27" spans="2:11" ht="16.5" customHeight="1">
      <c r="C27" s="109" t="s">
        <v>160</v>
      </c>
      <c r="D27" s="109"/>
      <c r="E27" s="109"/>
      <c r="F27" s="109"/>
      <c r="G27" s="109"/>
      <c r="H27" s="109"/>
      <c r="I27" s="109"/>
      <c r="J27" s="109"/>
      <c r="K27" s="109"/>
    </row>
    <row r="28" spans="2:11">
      <c r="C28" s="109"/>
      <c r="D28" s="109"/>
      <c r="E28" s="109"/>
      <c r="F28" s="109"/>
      <c r="G28" s="109"/>
      <c r="H28" s="109"/>
      <c r="I28" s="109"/>
      <c r="J28" s="109"/>
      <c r="K28" s="109"/>
    </row>
  </sheetData>
  <mergeCells count="8">
    <mergeCell ref="C17:K18"/>
    <mergeCell ref="C27:K28"/>
    <mergeCell ref="B10:K11"/>
    <mergeCell ref="C20:K21"/>
    <mergeCell ref="B2:K3"/>
    <mergeCell ref="B5:K5"/>
    <mergeCell ref="B13:K13"/>
    <mergeCell ref="B7:K8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85"/>
  <sheetViews>
    <sheetView zoomScaleNormal="100" workbookViewId="0">
      <selection activeCell="C23" sqref="C23"/>
    </sheetView>
  </sheetViews>
  <sheetFormatPr defaultRowHeight="16.5"/>
  <cols>
    <col min="1" max="1" width="1.75" customWidth="1"/>
    <col min="2" max="2" width="17.125" customWidth="1"/>
    <col min="3" max="3" width="13.625" style="91" customWidth="1"/>
    <col min="4" max="4" width="10.625" customWidth="1"/>
    <col min="5" max="5" width="18.625" customWidth="1"/>
    <col min="7" max="7" width="12" customWidth="1"/>
    <col min="8" max="8" width="27.75" customWidth="1"/>
    <col min="9" max="9" width="12.5" customWidth="1"/>
    <col min="10" max="10" width="9" style="6"/>
  </cols>
  <sheetData>
    <row r="1" spans="2:10" ht="30" customHeight="1">
      <c r="E1" s="88"/>
      <c r="J1" s="108" t="s">
        <v>169</v>
      </c>
    </row>
    <row r="2" spans="2:10" ht="18.75" customHeight="1">
      <c r="B2" s="113" t="s">
        <v>146</v>
      </c>
      <c r="C2" s="114"/>
      <c r="D2" s="114"/>
      <c r="E2" s="115"/>
      <c r="G2" s="116" t="s">
        <v>0</v>
      </c>
      <c r="H2" s="117"/>
      <c r="I2" s="118"/>
      <c r="J2" s="135" t="s">
        <v>97</v>
      </c>
    </row>
    <row r="3" spans="2:10">
      <c r="B3" s="80" t="s">
        <v>95</v>
      </c>
      <c r="C3" s="92" t="s">
        <v>96</v>
      </c>
      <c r="D3" s="80" t="s">
        <v>149</v>
      </c>
      <c r="E3" s="80" t="s">
        <v>165</v>
      </c>
      <c r="G3" s="119"/>
      <c r="H3" s="120"/>
      <c r="I3" s="121"/>
      <c r="J3" s="136"/>
    </row>
    <row r="4" spans="2:10">
      <c r="B4" s="89" t="s">
        <v>81</v>
      </c>
      <c r="C4" s="105">
        <v>200</v>
      </c>
      <c r="D4" s="75" t="s">
        <v>82</v>
      </c>
      <c r="E4" s="10" t="s">
        <v>170</v>
      </c>
      <c r="G4" s="71" t="s">
        <v>3</v>
      </c>
      <c r="H4" s="122" t="s">
        <v>4</v>
      </c>
      <c r="I4" s="123"/>
      <c r="J4" s="137"/>
    </row>
    <row r="5" spans="2:10" ht="16.5" customHeight="1">
      <c r="B5" s="11" t="s">
        <v>83</v>
      </c>
      <c r="C5" s="93" t="s">
        <v>162</v>
      </c>
      <c r="D5" s="12"/>
      <c r="E5" s="84" t="s">
        <v>171</v>
      </c>
      <c r="G5" s="124" t="s">
        <v>6</v>
      </c>
      <c r="H5" s="127" t="s">
        <v>7</v>
      </c>
      <c r="I5" s="128"/>
      <c r="J5" s="74" t="s">
        <v>80</v>
      </c>
    </row>
    <row r="6" spans="2:10" ht="16.5" customHeight="1">
      <c r="B6" s="11" t="s">
        <v>84</v>
      </c>
      <c r="C6" s="93" t="s">
        <v>74</v>
      </c>
      <c r="D6" s="12"/>
      <c r="E6" s="84" t="s">
        <v>171</v>
      </c>
      <c r="G6" s="125"/>
      <c r="H6" s="127" t="s">
        <v>131</v>
      </c>
      <c r="I6" s="128"/>
      <c r="J6" s="74" t="s">
        <v>80</v>
      </c>
    </row>
    <row r="7" spans="2:10" ht="16.5" customHeight="1">
      <c r="B7" s="13" t="s">
        <v>85</v>
      </c>
      <c r="C7" s="94" t="s">
        <v>75</v>
      </c>
      <c r="D7" s="14"/>
      <c r="E7" s="85" t="s">
        <v>171</v>
      </c>
      <c r="G7" s="125"/>
      <c r="H7" s="127" t="s">
        <v>9</v>
      </c>
      <c r="I7" s="128"/>
      <c r="J7" s="74" t="s">
        <v>80</v>
      </c>
    </row>
    <row r="8" spans="2:10" ht="16.5" customHeight="1">
      <c r="B8" s="15"/>
      <c r="C8" s="95"/>
      <c r="D8" s="16"/>
      <c r="E8" s="86"/>
      <c r="G8" s="125"/>
      <c r="H8" s="127" t="s">
        <v>10</v>
      </c>
      <c r="I8" s="128"/>
      <c r="J8" s="74" t="s">
        <v>80</v>
      </c>
    </row>
    <row r="9" spans="2:10">
      <c r="B9" s="17" t="s">
        <v>86</v>
      </c>
      <c r="C9" s="104">
        <v>24</v>
      </c>
      <c r="D9" s="10" t="s">
        <v>87</v>
      </c>
      <c r="E9" s="87" t="s">
        <v>170</v>
      </c>
      <c r="G9" s="125"/>
      <c r="H9" s="129" t="s">
        <v>11</v>
      </c>
      <c r="I9" s="130"/>
      <c r="J9" s="138" t="s">
        <v>80</v>
      </c>
    </row>
    <row r="10" spans="2:10">
      <c r="B10" s="13" t="s">
        <v>88</v>
      </c>
      <c r="C10" s="103">
        <v>0</v>
      </c>
      <c r="D10" s="14" t="s">
        <v>89</v>
      </c>
      <c r="E10" s="85" t="s">
        <v>170</v>
      </c>
      <c r="F10" s="7"/>
      <c r="G10" s="125"/>
      <c r="H10" s="131"/>
      <c r="I10" s="132"/>
      <c r="J10" s="139"/>
    </row>
    <row r="11" spans="2:10">
      <c r="B11" s="81"/>
      <c r="C11" s="96"/>
      <c r="D11" s="81"/>
      <c r="E11" s="86"/>
      <c r="F11" s="7"/>
      <c r="G11" s="125"/>
      <c r="H11" s="127" t="s">
        <v>14</v>
      </c>
      <c r="I11" s="128"/>
      <c r="J11" s="74" t="s">
        <v>80</v>
      </c>
    </row>
    <row r="12" spans="2:10">
      <c r="B12" s="82"/>
      <c r="C12" s="97"/>
      <c r="D12" s="82"/>
      <c r="E12" s="47"/>
      <c r="F12" s="7"/>
      <c r="G12" s="125"/>
      <c r="H12" s="133" t="s">
        <v>15</v>
      </c>
      <c r="I12" s="9" t="s">
        <v>16</v>
      </c>
      <c r="J12" s="74" t="s">
        <v>80</v>
      </c>
    </row>
    <row r="13" spans="2:10">
      <c r="B13" s="17" t="s">
        <v>90</v>
      </c>
      <c r="C13" s="100">
        <v>300000000</v>
      </c>
      <c r="D13" s="10" t="s">
        <v>91</v>
      </c>
      <c r="E13" s="10" t="s">
        <v>170</v>
      </c>
      <c r="F13" s="7"/>
      <c r="G13" s="126"/>
      <c r="H13" s="134"/>
      <c r="I13" s="9" t="s">
        <v>17</v>
      </c>
      <c r="J13" s="74" t="s">
        <v>80</v>
      </c>
    </row>
    <row r="14" spans="2:10">
      <c r="B14" s="11" t="s">
        <v>92</v>
      </c>
      <c r="C14" s="102">
        <v>120</v>
      </c>
      <c r="D14" s="86" t="s">
        <v>168</v>
      </c>
      <c r="E14" s="12" t="s">
        <v>166</v>
      </c>
      <c r="F14" s="7"/>
      <c r="G14" s="124" t="s">
        <v>78</v>
      </c>
      <c r="H14" s="127" t="s">
        <v>18</v>
      </c>
      <c r="I14" s="128"/>
      <c r="J14" s="74" t="s">
        <v>140</v>
      </c>
    </row>
    <row r="15" spans="2:10">
      <c r="B15" s="11" t="s">
        <v>93</v>
      </c>
      <c r="C15" s="102">
        <v>40</v>
      </c>
      <c r="D15" s="86" t="s">
        <v>168</v>
      </c>
      <c r="E15" s="12" t="s">
        <v>167</v>
      </c>
      <c r="F15" s="7"/>
      <c r="G15" s="125"/>
      <c r="H15" s="127" t="s">
        <v>19</v>
      </c>
      <c r="I15" s="128"/>
      <c r="J15" s="74" t="s">
        <v>140</v>
      </c>
    </row>
    <row r="16" spans="2:10">
      <c r="B16" s="11" t="s">
        <v>94</v>
      </c>
      <c r="C16" s="101">
        <v>10000000</v>
      </c>
      <c r="D16" s="12" t="s">
        <v>91</v>
      </c>
      <c r="E16" s="12" t="s">
        <v>163</v>
      </c>
      <c r="F16" s="7"/>
      <c r="G16" s="125"/>
      <c r="H16" s="127" t="s">
        <v>20</v>
      </c>
      <c r="I16" s="128"/>
      <c r="J16" s="74" t="s">
        <v>140</v>
      </c>
    </row>
    <row r="17" spans="2:10">
      <c r="B17" s="13" t="s">
        <v>150</v>
      </c>
      <c r="C17" s="107">
        <v>0.45</v>
      </c>
      <c r="D17" s="14" t="s">
        <v>168</v>
      </c>
      <c r="E17" s="90" t="s">
        <v>164</v>
      </c>
      <c r="F17" s="7"/>
      <c r="G17" s="125"/>
      <c r="H17" s="127" t="s">
        <v>132</v>
      </c>
      <c r="I17" s="128"/>
      <c r="J17" s="74" t="s">
        <v>140</v>
      </c>
    </row>
    <row r="18" spans="2:10">
      <c r="B18" s="99"/>
      <c r="F18" s="7"/>
      <c r="G18" s="125"/>
      <c r="H18" s="127" t="s">
        <v>21</v>
      </c>
      <c r="I18" s="128"/>
      <c r="J18" s="74" t="s">
        <v>140</v>
      </c>
    </row>
    <row r="19" spans="2:10" ht="16.5" customHeight="1">
      <c r="F19" s="7"/>
      <c r="G19" s="126"/>
      <c r="H19" s="127" t="s">
        <v>22</v>
      </c>
      <c r="I19" s="128"/>
      <c r="J19" s="74" t="s">
        <v>140</v>
      </c>
    </row>
    <row r="20" spans="2:10">
      <c r="B20" s="42" t="s">
        <v>138</v>
      </c>
      <c r="C20" s="98" t="s">
        <v>80</v>
      </c>
      <c r="D20" s="25" t="s">
        <v>139</v>
      </c>
      <c r="E20" s="25" t="s">
        <v>171</v>
      </c>
      <c r="F20" s="7"/>
      <c r="G20" s="124" t="s">
        <v>23</v>
      </c>
      <c r="H20" s="127" t="s">
        <v>24</v>
      </c>
      <c r="I20" s="128"/>
      <c r="J20" s="74" t="s">
        <v>80</v>
      </c>
    </row>
    <row r="21" spans="2:10">
      <c r="F21" s="7"/>
      <c r="G21" s="125"/>
      <c r="H21" s="129" t="s">
        <v>25</v>
      </c>
      <c r="I21" s="130"/>
      <c r="J21" s="138" t="s">
        <v>80</v>
      </c>
    </row>
    <row r="22" spans="2:10">
      <c r="F22" s="7"/>
      <c r="G22" s="125"/>
      <c r="H22" s="131"/>
      <c r="I22" s="132"/>
      <c r="J22" s="139"/>
    </row>
    <row r="23" spans="2:10">
      <c r="F23" s="7"/>
      <c r="G23" s="125"/>
      <c r="H23" s="127" t="s">
        <v>28</v>
      </c>
      <c r="I23" s="128"/>
      <c r="J23" s="74" t="s">
        <v>80</v>
      </c>
    </row>
    <row r="24" spans="2:10">
      <c r="F24" s="7"/>
      <c r="G24" s="125"/>
      <c r="H24" s="127" t="s">
        <v>29</v>
      </c>
      <c r="I24" s="128"/>
      <c r="J24" s="74" t="s">
        <v>80</v>
      </c>
    </row>
    <row r="25" spans="2:10">
      <c r="F25" s="7"/>
      <c r="G25" s="125"/>
      <c r="H25" s="129" t="s">
        <v>30</v>
      </c>
      <c r="I25" s="130"/>
      <c r="J25" s="138" t="s">
        <v>80</v>
      </c>
    </row>
    <row r="26" spans="2:10">
      <c r="F26" s="7"/>
      <c r="G26" s="125"/>
      <c r="H26" s="131"/>
      <c r="I26" s="132"/>
      <c r="J26" s="139"/>
    </row>
    <row r="27" spans="2:10">
      <c r="F27" s="7"/>
      <c r="G27" s="125"/>
      <c r="H27" s="127" t="s">
        <v>31</v>
      </c>
      <c r="I27" s="128"/>
      <c r="J27" s="74" t="s">
        <v>80</v>
      </c>
    </row>
    <row r="28" spans="2:10">
      <c r="F28" s="7"/>
      <c r="G28" s="125"/>
      <c r="H28" s="127" t="s">
        <v>33</v>
      </c>
      <c r="I28" s="128"/>
      <c r="J28" s="74" t="s">
        <v>80</v>
      </c>
    </row>
    <row r="29" spans="2:10" ht="16.5" customHeight="1">
      <c r="F29" s="7"/>
      <c r="G29" s="126"/>
      <c r="H29" s="127" t="s">
        <v>133</v>
      </c>
      <c r="I29" s="128"/>
      <c r="J29" s="74" t="s">
        <v>80</v>
      </c>
    </row>
    <row r="30" spans="2:10">
      <c r="F30" s="7"/>
      <c r="G30" s="124" t="s">
        <v>34</v>
      </c>
      <c r="H30" s="127" t="s">
        <v>35</v>
      </c>
      <c r="I30" s="128"/>
      <c r="J30" s="74" t="s">
        <v>80</v>
      </c>
    </row>
    <row r="31" spans="2:10">
      <c r="F31" s="7"/>
      <c r="G31" s="125"/>
      <c r="H31" s="129" t="s">
        <v>36</v>
      </c>
      <c r="I31" s="130"/>
      <c r="J31" s="138" t="s">
        <v>80</v>
      </c>
    </row>
    <row r="32" spans="2:10">
      <c r="F32" s="7"/>
      <c r="G32" s="125"/>
      <c r="H32" s="131"/>
      <c r="I32" s="132"/>
      <c r="J32" s="139"/>
    </row>
    <row r="33" spans="6:10">
      <c r="F33" s="7"/>
      <c r="G33" s="125"/>
      <c r="H33" s="127" t="s">
        <v>37</v>
      </c>
      <c r="I33" s="128"/>
      <c r="J33" s="74" t="s">
        <v>80</v>
      </c>
    </row>
    <row r="34" spans="6:10">
      <c r="F34" s="7"/>
      <c r="G34" s="125"/>
      <c r="H34" s="127" t="s">
        <v>38</v>
      </c>
      <c r="I34" s="128"/>
      <c r="J34" s="74" t="s">
        <v>80</v>
      </c>
    </row>
    <row r="35" spans="6:10">
      <c r="F35" s="7"/>
      <c r="G35" s="125"/>
      <c r="H35" s="129" t="s">
        <v>39</v>
      </c>
      <c r="I35" s="130"/>
      <c r="J35" s="138" t="s">
        <v>80</v>
      </c>
    </row>
    <row r="36" spans="6:10">
      <c r="F36" s="7"/>
      <c r="G36" s="125"/>
      <c r="H36" s="131"/>
      <c r="I36" s="132"/>
      <c r="J36" s="139"/>
    </row>
    <row r="37" spans="6:10">
      <c r="F37" s="7"/>
      <c r="G37" s="125"/>
      <c r="H37" s="127" t="s">
        <v>40</v>
      </c>
      <c r="I37" s="128"/>
      <c r="J37" s="74" t="s">
        <v>80</v>
      </c>
    </row>
    <row r="38" spans="6:10">
      <c r="F38" s="7"/>
      <c r="G38" s="125"/>
      <c r="H38" s="127" t="s">
        <v>41</v>
      </c>
      <c r="I38" s="128"/>
      <c r="J38" s="74" t="s">
        <v>80</v>
      </c>
    </row>
    <row r="39" spans="6:10">
      <c r="F39" s="7"/>
      <c r="G39" s="125"/>
      <c r="H39" s="127" t="s">
        <v>33</v>
      </c>
      <c r="I39" s="128"/>
      <c r="J39" s="74" t="s">
        <v>80</v>
      </c>
    </row>
    <row r="40" spans="6:10" ht="16.5" customHeight="1">
      <c r="F40" s="7"/>
      <c r="G40" s="125"/>
      <c r="H40" s="127" t="s">
        <v>134</v>
      </c>
      <c r="I40" s="128"/>
      <c r="J40" s="74" t="s">
        <v>80</v>
      </c>
    </row>
    <row r="41" spans="6:10">
      <c r="F41" s="7"/>
      <c r="G41" s="126"/>
      <c r="H41" s="127" t="s">
        <v>42</v>
      </c>
      <c r="I41" s="128"/>
      <c r="J41" s="74" t="s">
        <v>80</v>
      </c>
    </row>
    <row r="42" spans="6:10">
      <c r="F42" s="7"/>
      <c r="G42" s="124" t="s">
        <v>43</v>
      </c>
      <c r="H42" s="127" t="s">
        <v>44</v>
      </c>
      <c r="I42" s="128"/>
      <c r="J42" s="74" t="s">
        <v>140</v>
      </c>
    </row>
    <row r="43" spans="6:10">
      <c r="F43" s="7"/>
      <c r="G43" s="125"/>
      <c r="H43" s="127" t="s">
        <v>45</v>
      </c>
      <c r="I43" s="128"/>
      <c r="J43" s="74" t="s">
        <v>140</v>
      </c>
    </row>
    <row r="44" spans="6:10">
      <c r="F44" s="7"/>
      <c r="G44" s="125"/>
      <c r="H44" s="129" t="s">
        <v>46</v>
      </c>
      <c r="I44" s="130"/>
      <c r="J44" s="138" t="s">
        <v>140</v>
      </c>
    </row>
    <row r="45" spans="6:10">
      <c r="F45" s="7"/>
      <c r="G45" s="126"/>
      <c r="H45" s="131"/>
      <c r="I45" s="132"/>
      <c r="J45" s="139"/>
    </row>
    <row r="46" spans="6:10">
      <c r="F46" s="7"/>
      <c r="G46" s="124" t="s">
        <v>48</v>
      </c>
      <c r="H46" s="127" t="s">
        <v>49</v>
      </c>
      <c r="I46" s="128"/>
      <c r="J46" s="74" t="s">
        <v>80</v>
      </c>
    </row>
    <row r="47" spans="6:10">
      <c r="F47" s="7"/>
      <c r="G47" s="125"/>
      <c r="H47" s="129" t="s">
        <v>135</v>
      </c>
      <c r="I47" s="130"/>
      <c r="J47" s="138" t="s">
        <v>80</v>
      </c>
    </row>
    <row r="48" spans="6:10">
      <c r="F48" s="7"/>
      <c r="G48" s="125"/>
      <c r="H48" s="131"/>
      <c r="I48" s="132"/>
      <c r="J48" s="139"/>
    </row>
    <row r="49" spans="6:10">
      <c r="F49" s="7"/>
      <c r="G49" s="125"/>
      <c r="H49" s="129" t="s">
        <v>50</v>
      </c>
      <c r="I49" s="130"/>
      <c r="J49" s="138" t="s">
        <v>80</v>
      </c>
    </row>
    <row r="50" spans="6:10">
      <c r="F50" s="7"/>
      <c r="G50" s="125"/>
      <c r="H50" s="131"/>
      <c r="I50" s="132"/>
      <c r="J50" s="139"/>
    </row>
    <row r="51" spans="6:10">
      <c r="F51" s="7"/>
      <c r="G51" s="125"/>
      <c r="H51" s="129" t="s">
        <v>51</v>
      </c>
      <c r="I51" s="130"/>
      <c r="J51" s="138" t="s">
        <v>80</v>
      </c>
    </row>
    <row r="52" spans="6:10">
      <c r="F52" s="7"/>
      <c r="G52" s="125"/>
      <c r="H52" s="131"/>
      <c r="I52" s="132"/>
      <c r="J52" s="139"/>
    </row>
    <row r="53" spans="6:10">
      <c r="F53" s="7"/>
      <c r="G53" s="125"/>
      <c r="H53" s="129" t="s">
        <v>52</v>
      </c>
      <c r="I53" s="130"/>
      <c r="J53" s="138" t="s">
        <v>80</v>
      </c>
    </row>
    <row r="54" spans="6:10">
      <c r="F54" s="7"/>
      <c r="G54" s="125"/>
      <c r="H54" s="131"/>
      <c r="I54" s="132"/>
      <c r="J54" s="139"/>
    </row>
    <row r="55" spans="6:10">
      <c r="F55" s="7"/>
      <c r="G55" s="125"/>
      <c r="H55" s="129" t="s">
        <v>53</v>
      </c>
      <c r="I55" s="130"/>
      <c r="J55" s="138" t="s">
        <v>80</v>
      </c>
    </row>
    <row r="56" spans="6:10">
      <c r="F56" s="7"/>
      <c r="G56" s="125"/>
      <c r="H56" s="131"/>
      <c r="I56" s="132"/>
      <c r="J56" s="139"/>
    </row>
    <row r="57" spans="6:10">
      <c r="F57" s="7"/>
      <c r="G57" s="125"/>
      <c r="H57" s="129" t="s">
        <v>54</v>
      </c>
      <c r="I57" s="130"/>
      <c r="J57" s="138" t="s">
        <v>80</v>
      </c>
    </row>
    <row r="58" spans="6:10">
      <c r="F58" s="7"/>
      <c r="G58" s="125"/>
      <c r="H58" s="131"/>
      <c r="I58" s="132"/>
      <c r="J58" s="139"/>
    </row>
    <row r="59" spans="6:10">
      <c r="F59" s="7"/>
      <c r="G59" s="125"/>
      <c r="H59" s="129" t="s">
        <v>55</v>
      </c>
      <c r="I59" s="130"/>
      <c r="J59" s="138" t="s">
        <v>80</v>
      </c>
    </row>
    <row r="60" spans="6:10">
      <c r="F60" s="7"/>
      <c r="G60" s="125"/>
      <c r="H60" s="131"/>
      <c r="I60" s="132"/>
      <c r="J60" s="139"/>
    </row>
    <row r="61" spans="6:10">
      <c r="F61" s="7"/>
      <c r="G61" s="125"/>
      <c r="H61" s="129" t="s">
        <v>56</v>
      </c>
      <c r="I61" s="130"/>
      <c r="J61" s="138" t="s">
        <v>80</v>
      </c>
    </row>
    <row r="62" spans="6:10">
      <c r="F62" s="7"/>
      <c r="G62" s="125"/>
      <c r="H62" s="131"/>
      <c r="I62" s="132"/>
      <c r="J62" s="139"/>
    </row>
    <row r="63" spans="6:10">
      <c r="F63" s="7"/>
      <c r="G63" s="125"/>
      <c r="H63" s="129" t="s">
        <v>57</v>
      </c>
      <c r="I63" s="130"/>
      <c r="J63" s="138" t="s">
        <v>80</v>
      </c>
    </row>
    <row r="64" spans="6:10">
      <c r="F64" s="7"/>
      <c r="G64" s="125"/>
      <c r="H64" s="131"/>
      <c r="I64" s="132"/>
      <c r="J64" s="139"/>
    </row>
    <row r="65" spans="6:10">
      <c r="F65" s="7"/>
      <c r="G65" s="125"/>
      <c r="H65" s="127" t="s">
        <v>58</v>
      </c>
      <c r="I65" s="128"/>
      <c r="J65" s="74" t="s">
        <v>80</v>
      </c>
    </row>
    <row r="66" spans="6:10">
      <c r="F66" s="7"/>
      <c r="G66" s="125"/>
      <c r="H66" s="127" t="s">
        <v>59</v>
      </c>
      <c r="I66" s="128"/>
      <c r="J66" s="74" t="s">
        <v>80</v>
      </c>
    </row>
    <row r="67" spans="6:10">
      <c r="F67" s="7"/>
      <c r="G67" s="125"/>
      <c r="H67" s="129" t="s">
        <v>60</v>
      </c>
      <c r="I67" s="130"/>
      <c r="J67" s="138" t="s">
        <v>80</v>
      </c>
    </row>
    <row r="68" spans="6:10">
      <c r="F68" s="7"/>
      <c r="G68" s="125"/>
      <c r="H68" s="131"/>
      <c r="I68" s="132"/>
      <c r="J68" s="139"/>
    </row>
    <row r="69" spans="6:10">
      <c r="F69" s="7"/>
      <c r="G69" s="125"/>
      <c r="H69" s="129" t="s">
        <v>136</v>
      </c>
      <c r="I69" s="130"/>
      <c r="J69" s="138" t="s">
        <v>80</v>
      </c>
    </row>
    <row r="70" spans="6:10">
      <c r="F70" s="7"/>
      <c r="G70" s="125"/>
      <c r="H70" s="131"/>
      <c r="I70" s="132"/>
      <c r="J70" s="139"/>
    </row>
    <row r="71" spans="6:10">
      <c r="F71" s="7"/>
      <c r="G71" s="125"/>
      <c r="H71" s="127" t="s">
        <v>62</v>
      </c>
      <c r="I71" s="128"/>
      <c r="J71" s="74" t="s">
        <v>80</v>
      </c>
    </row>
    <row r="72" spans="6:10">
      <c r="F72" s="7"/>
      <c r="G72" s="125"/>
      <c r="H72" s="129" t="s">
        <v>63</v>
      </c>
      <c r="I72" s="130"/>
      <c r="J72" s="138" t="s">
        <v>80</v>
      </c>
    </row>
    <row r="73" spans="6:10">
      <c r="F73" s="7"/>
      <c r="G73" s="126"/>
      <c r="H73" s="131"/>
      <c r="I73" s="132"/>
      <c r="J73" s="139"/>
    </row>
    <row r="74" spans="6:10">
      <c r="F74" s="7"/>
      <c r="G74" s="124" t="s">
        <v>79</v>
      </c>
      <c r="H74" s="127" t="s">
        <v>64</v>
      </c>
      <c r="I74" s="128"/>
      <c r="J74" s="74" t="s">
        <v>80</v>
      </c>
    </row>
    <row r="75" spans="6:10">
      <c r="F75" s="7"/>
      <c r="G75" s="125"/>
      <c r="H75" s="127" t="s">
        <v>65</v>
      </c>
      <c r="I75" s="128"/>
      <c r="J75" s="74" t="s">
        <v>80</v>
      </c>
    </row>
    <row r="76" spans="6:10">
      <c r="F76" s="7"/>
      <c r="G76" s="125"/>
      <c r="H76" s="127" t="s">
        <v>66</v>
      </c>
      <c r="I76" s="128"/>
      <c r="J76" s="74" t="s">
        <v>80</v>
      </c>
    </row>
    <row r="77" spans="6:10" ht="16.5" customHeight="1">
      <c r="F77" s="7"/>
      <c r="G77" s="126"/>
      <c r="H77" s="127" t="s">
        <v>67</v>
      </c>
      <c r="I77" s="128"/>
      <c r="J77" s="74" t="s">
        <v>80</v>
      </c>
    </row>
    <row r="78" spans="6:10">
      <c r="F78" s="7"/>
    </row>
    <row r="79" spans="6:10">
      <c r="F79" s="7"/>
    </row>
    <row r="80" spans="6:10">
      <c r="F80" s="7"/>
    </row>
    <row r="81" spans="6:6">
      <c r="F81" s="7"/>
    </row>
    <row r="82" spans="6:6">
      <c r="F82" s="7"/>
    </row>
    <row r="83" spans="6:6">
      <c r="F83" s="7"/>
    </row>
    <row r="84" spans="6:6">
      <c r="F84" s="7"/>
    </row>
    <row r="85" spans="6:6">
      <c r="F85" s="7"/>
    </row>
  </sheetData>
  <dataConsolidate/>
  <mergeCells count="83">
    <mergeCell ref="J59:J60"/>
    <mergeCell ref="J61:J62"/>
    <mergeCell ref="J49:J50"/>
    <mergeCell ref="J51:J52"/>
    <mergeCell ref="J53:J54"/>
    <mergeCell ref="J55:J56"/>
    <mergeCell ref="J57:J58"/>
    <mergeCell ref="H74:I74"/>
    <mergeCell ref="H75:I75"/>
    <mergeCell ref="H76:I76"/>
    <mergeCell ref="H77:I77"/>
    <mergeCell ref="J2:J4"/>
    <mergeCell ref="J9:J10"/>
    <mergeCell ref="J21:J22"/>
    <mergeCell ref="J25:J26"/>
    <mergeCell ref="J31:J32"/>
    <mergeCell ref="J63:J64"/>
    <mergeCell ref="J67:J68"/>
    <mergeCell ref="J69:J70"/>
    <mergeCell ref="J72:J73"/>
    <mergeCell ref="J35:J36"/>
    <mergeCell ref="J44:J45"/>
    <mergeCell ref="J47:J48"/>
    <mergeCell ref="G74:G77"/>
    <mergeCell ref="H63:I64"/>
    <mergeCell ref="H65:I65"/>
    <mergeCell ref="H66:I66"/>
    <mergeCell ref="H67:I68"/>
    <mergeCell ref="H69:I70"/>
    <mergeCell ref="H71:I71"/>
    <mergeCell ref="G46:G73"/>
    <mergeCell ref="H46:I46"/>
    <mergeCell ref="H47:I48"/>
    <mergeCell ref="H49:I50"/>
    <mergeCell ref="H51:I52"/>
    <mergeCell ref="H53:I54"/>
    <mergeCell ref="H55:I56"/>
    <mergeCell ref="H57:I58"/>
    <mergeCell ref="H72:I73"/>
    <mergeCell ref="H59:I60"/>
    <mergeCell ref="H61:I62"/>
    <mergeCell ref="H38:I38"/>
    <mergeCell ref="H39:I39"/>
    <mergeCell ref="H40:I40"/>
    <mergeCell ref="H41:I41"/>
    <mergeCell ref="G42:G45"/>
    <mergeCell ref="H42:I42"/>
    <mergeCell ref="H43:I43"/>
    <mergeCell ref="H44:I45"/>
    <mergeCell ref="H27:I27"/>
    <mergeCell ref="H28:I28"/>
    <mergeCell ref="H29:I29"/>
    <mergeCell ref="G30:G41"/>
    <mergeCell ref="H30:I30"/>
    <mergeCell ref="H31:I32"/>
    <mergeCell ref="H33:I33"/>
    <mergeCell ref="H34:I34"/>
    <mergeCell ref="H35:I36"/>
    <mergeCell ref="H37:I37"/>
    <mergeCell ref="H16:I16"/>
    <mergeCell ref="H17:I17"/>
    <mergeCell ref="H18:I18"/>
    <mergeCell ref="H19:I19"/>
    <mergeCell ref="G20:G29"/>
    <mergeCell ref="H20:I20"/>
    <mergeCell ref="H21:I22"/>
    <mergeCell ref="H23:I23"/>
    <mergeCell ref="H24:I24"/>
    <mergeCell ref="H25:I26"/>
    <mergeCell ref="G14:G19"/>
    <mergeCell ref="H15:I15"/>
    <mergeCell ref="H14:I14"/>
    <mergeCell ref="B2:E2"/>
    <mergeCell ref="G2:I3"/>
    <mergeCell ref="H4:I4"/>
    <mergeCell ref="G5:G13"/>
    <mergeCell ref="H5:I5"/>
    <mergeCell ref="H6:I6"/>
    <mergeCell ref="H7:I7"/>
    <mergeCell ref="H8:I8"/>
    <mergeCell ref="H9:I10"/>
    <mergeCell ref="H11:I11"/>
    <mergeCell ref="H12:H13"/>
  </mergeCells>
  <phoneticPr fontId="2" type="noConversion"/>
  <dataValidations count="5">
    <dataValidation type="list" allowBlank="1" showInputMessage="1" showErrorMessage="1" sqref="C20">
      <formula1>"O,X"</formula1>
    </dataValidation>
    <dataValidation type="list" allowBlank="1" showInputMessage="1" showErrorMessage="1" sqref="C5">
      <formula1>"단순공종, 보통공종, 복잡공종"</formula1>
    </dataValidation>
    <dataValidation type="list" allowBlank="1" showInputMessage="1" showErrorMessage="1" sqref="C6">
      <formula1>"신축, 전면 리모델링(증축포함), 순환 리모델링"</formula1>
    </dataValidation>
    <dataValidation type="list" allowBlank="1" showInputMessage="1" showErrorMessage="1" sqref="C7">
      <formula1>"미적용, 적용"</formula1>
    </dataValidation>
    <dataValidation type="list" allowBlank="1" showInputMessage="1" showErrorMessage="1" sqref="J5:J9 J11:J21 J23:J25 J27:J31 J33:J35 J37:J44 J46:J47 J49 J51 J53 J55 J57 J59 J61 J63 J65:J67 J69 J71:J72 J74:J77">
      <formula1>"O, X"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3"/>
  <sheetViews>
    <sheetView zoomScaleNormal="100" zoomScaleSheetLayoutView="130" workbookViewId="0">
      <selection activeCell="G17" sqref="G17"/>
    </sheetView>
  </sheetViews>
  <sheetFormatPr defaultRowHeight="16.5"/>
  <cols>
    <col min="1" max="1" width="2.125" customWidth="1"/>
    <col min="2" max="2" width="15.625" style="6" customWidth="1"/>
    <col min="3" max="3" width="20.625" style="6" customWidth="1"/>
    <col min="4" max="4" width="10.625" style="6" customWidth="1"/>
    <col min="5" max="5" width="8.625" style="6" customWidth="1"/>
    <col min="6" max="6" width="15.625" style="18" customWidth="1"/>
    <col min="7" max="7" width="20.625" style="56" customWidth="1"/>
    <col min="8" max="8" width="10.625" customWidth="1"/>
  </cols>
  <sheetData>
    <row r="1" spans="2:9" ht="25.5" customHeight="1">
      <c r="B1" s="67"/>
    </row>
    <row r="2" spans="2:9" ht="60" customHeight="1">
      <c r="B2" s="140" t="s">
        <v>157</v>
      </c>
      <c r="C2" s="141"/>
      <c r="D2" s="142"/>
      <c r="E2" s="18"/>
      <c r="F2" s="140" t="s">
        <v>158</v>
      </c>
      <c r="G2" s="141"/>
      <c r="H2" s="142"/>
    </row>
    <row r="3" spans="2:9" ht="37.5" customHeight="1">
      <c r="B3" s="61" t="s">
        <v>100</v>
      </c>
      <c r="C3" s="61" t="s">
        <v>115</v>
      </c>
      <c r="D3" s="61" t="s">
        <v>116</v>
      </c>
      <c r="F3" s="61" t="s">
        <v>95</v>
      </c>
      <c r="G3" s="65" t="s">
        <v>145</v>
      </c>
      <c r="H3" s="61" t="s">
        <v>116</v>
      </c>
    </row>
    <row r="4" spans="2:9" ht="30" customHeight="1">
      <c r="B4" s="28" t="s">
        <v>117</v>
      </c>
      <c r="C4" s="68">
        <f>투입인원수!N78*'건설사업관리기술인 노임가격'!C4</f>
        <v>1054631257.1896884</v>
      </c>
      <c r="D4" s="48"/>
      <c r="F4" s="28" t="s">
        <v>117</v>
      </c>
      <c r="G4" s="68">
        <f>투입인원수!N78*'건설사업관리기술인 노임가격'!C4*0.8</f>
        <v>843705005.75175083</v>
      </c>
      <c r="H4" s="57"/>
      <c r="I4" s="47"/>
    </row>
    <row r="5" spans="2:9" ht="30" customHeight="1">
      <c r="B5" s="29" t="s">
        <v>90</v>
      </c>
      <c r="C5" s="59">
        <f>입력!C13</f>
        <v>300000000</v>
      </c>
      <c r="D5" s="50"/>
      <c r="F5" s="29" t="s">
        <v>90</v>
      </c>
      <c r="G5" s="59">
        <f>C5</f>
        <v>300000000</v>
      </c>
      <c r="H5" s="58"/>
      <c r="I5" s="47"/>
    </row>
    <row r="6" spans="2:9" ht="30" customHeight="1">
      <c r="B6" s="29" t="s">
        <v>118</v>
      </c>
      <c r="C6" s="59">
        <f>C4*입력!C14*0.01</f>
        <v>1265557508.6276262</v>
      </c>
      <c r="D6" s="49"/>
      <c r="F6" s="29" t="s">
        <v>118</v>
      </c>
      <c r="G6" s="59">
        <f>G4*입력!C14*0.01</f>
        <v>1012446006.902101</v>
      </c>
      <c r="H6" s="58"/>
      <c r="I6" s="47"/>
    </row>
    <row r="7" spans="2:9" ht="30" customHeight="1">
      <c r="B7" s="29" t="s">
        <v>119</v>
      </c>
      <c r="C7" s="59">
        <f>(C4+C6)*입력!C15*0.01</f>
        <v>928075506.32692587</v>
      </c>
      <c r="D7" s="49"/>
      <c r="F7" s="29" t="s">
        <v>119</v>
      </c>
      <c r="G7" s="59">
        <f>(G4+G6)*입력!C15*0.01</f>
        <v>742460405.06154084</v>
      </c>
      <c r="H7" s="58"/>
      <c r="I7" s="47"/>
    </row>
    <row r="8" spans="2:9" ht="30" customHeight="1">
      <c r="B8" s="52" t="s">
        <v>94</v>
      </c>
      <c r="C8" s="59">
        <f>입력!C16</f>
        <v>10000000</v>
      </c>
      <c r="D8" s="50"/>
      <c r="F8" s="52" t="s">
        <v>94</v>
      </c>
      <c r="G8" s="59">
        <f>C8</f>
        <v>10000000</v>
      </c>
      <c r="H8" s="58"/>
      <c r="I8" s="47"/>
    </row>
    <row r="9" spans="2:9" ht="30" customHeight="1">
      <c r="B9" s="29" t="s">
        <v>141</v>
      </c>
      <c r="C9" s="72">
        <f>입력!C17*0.01*(C4+C5+C6+C7+C8)</f>
        <v>16012189.224649083</v>
      </c>
      <c r="D9" s="50"/>
      <c r="F9" s="29" t="s">
        <v>141</v>
      </c>
      <c r="G9" s="106">
        <f>입력!C17*0.01*(G4+G5+G6+G7+G8)</f>
        <v>13088751.37971927</v>
      </c>
      <c r="H9" s="50"/>
      <c r="I9" s="47"/>
    </row>
    <row r="10" spans="2:9" ht="30" customHeight="1">
      <c r="B10" s="30" t="s">
        <v>143</v>
      </c>
      <c r="C10" s="55">
        <f>SUM(C4+C5+C6+C7+C8+C9)</f>
        <v>3574276461.3688893</v>
      </c>
      <c r="D10" s="51"/>
      <c r="F10" s="30" t="s">
        <v>143</v>
      </c>
      <c r="G10" s="55">
        <f>G4+G5+G6+G7+G8+G9</f>
        <v>2921700169.0951123</v>
      </c>
      <c r="H10" s="69"/>
      <c r="I10" s="47"/>
    </row>
    <row r="11" spans="2:9" ht="30" customHeight="1">
      <c r="B11" s="53" t="s">
        <v>142</v>
      </c>
      <c r="C11" s="73">
        <f>C10*0.1</f>
        <v>357427646.13688898</v>
      </c>
      <c r="D11" s="54" t="s">
        <v>144</v>
      </c>
      <c r="F11" s="53" t="s">
        <v>142</v>
      </c>
      <c r="G11" s="60">
        <f>G10*0.1</f>
        <v>292170016.90951127</v>
      </c>
      <c r="H11" s="54" t="s">
        <v>144</v>
      </c>
      <c r="I11" s="47"/>
    </row>
    <row r="12" spans="2:9" ht="30" customHeight="1">
      <c r="B12" s="62" t="s">
        <v>120</v>
      </c>
      <c r="C12" s="64">
        <f>C10+C11</f>
        <v>3931704107.5057783</v>
      </c>
      <c r="D12" s="63"/>
      <c r="F12" s="62" t="s">
        <v>120</v>
      </c>
      <c r="G12" s="64">
        <f>G10+G11</f>
        <v>3213870186.0046234</v>
      </c>
      <c r="H12" s="66"/>
      <c r="I12" s="47"/>
    </row>
    <row r="13" spans="2:9">
      <c r="H13" s="47"/>
      <c r="I13" s="47"/>
    </row>
  </sheetData>
  <mergeCells count="2">
    <mergeCell ref="B2:D2"/>
    <mergeCell ref="F2:H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C4"/>
  <sheetViews>
    <sheetView workbookViewId="0">
      <selection activeCell="F33" sqref="F33"/>
    </sheetView>
  </sheetViews>
  <sheetFormatPr defaultRowHeight="16.5"/>
  <cols>
    <col min="1" max="1" width="4.125" customWidth="1"/>
    <col min="2" max="2" width="11" customWidth="1"/>
    <col min="3" max="3" width="13.25" style="6" customWidth="1"/>
  </cols>
  <sheetData>
    <row r="1" spans="2:3" ht="12.75" customHeight="1"/>
    <row r="2" spans="2:3" ht="17.25" customHeight="1">
      <c r="B2" s="143" t="s">
        <v>121</v>
      </c>
      <c r="C2" s="80" t="s">
        <v>122</v>
      </c>
    </row>
    <row r="3" spans="2:3" ht="17.25" customHeight="1">
      <c r="B3" s="143"/>
      <c r="C3" s="80">
        <v>2022</v>
      </c>
    </row>
    <row r="4" spans="2:3" ht="32.25" customHeight="1">
      <c r="B4" s="31" t="s">
        <v>123</v>
      </c>
      <c r="C4" s="32">
        <v>311735</v>
      </c>
    </row>
  </sheetData>
  <mergeCells count="1">
    <mergeCell ref="B2:B3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R78"/>
  <sheetViews>
    <sheetView topLeftCell="A55" zoomScale="85" zoomScaleNormal="85" workbookViewId="0">
      <selection activeCell="N78" sqref="N78"/>
    </sheetView>
  </sheetViews>
  <sheetFormatPr defaultRowHeight="16.5"/>
  <cols>
    <col min="1" max="1" width="3.5" customWidth="1"/>
    <col min="2" max="2" width="12.625" customWidth="1"/>
    <col min="3" max="4" width="20.25" customWidth="1"/>
    <col min="11" max="11" width="2.875" customWidth="1"/>
    <col min="12" max="12" width="17.5" style="5" customWidth="1"/>
    <col min="13" max="13" width="6.875" customWidth="1"/>
    <col min="14" max="14" width="16.125" customWidth="1"/>
    <col min="15" max="15" width="6.875" customWidth="1"/>
    <col min="16" max="18" width="11.75" style="4" customWidth="1"/>
  </cols>
  <sheetData>
    <row r="1" spans="2:18">
      <c r="L1" s="4"/>
    </row>
    <row r="2" spans="2:18">
      <c r="B2" s="116" t="s">
        <v>0</v>
      </c>
      <c r="C2" s="117"/>
      <c r="D2" s="118"/>
      <c r="E2" s="155" t="s">
        <v>108</v>
      </c>
      <c r="F2" s="155" t="s">
        <v>2</v>
      </c>
      <c r="G2" s="116" t="s">
        <v>68</v>
      </c>
      <c r="H2" s="117"/>
      <c r="I2" s="118"/>
      <c r="J2" s="155" t="s">
        <v>69</v>
      </c>
      <c r="K2" s="27"/>
      <c r="L2" s="170" t="s">
        <v>109</v>
      </c>
      <c r="M2" s="173" t="s">
        <v>110</v>
      </c>
      <c r="N2" s="143" t="s">
        <v>111</v>
      </c>
      <c r="O2" s="21"/>
      <c r="P2" s="78" t="s">
        <v>112</v>
      </c>
      <c r="Q2" s="78" t="s">
        <v>113</v>
      </c>
      <c r="R2" s="78" t="s">
        <v>114</v>
      </c>
    </row>
    <row r="3" spans="2:18">
      <c r="B3" s="119"/>
      <c r="C3" s="120"/>
      <c r="D3" s="121"/>
      <c r="E3" s="156"/>
      <c r="F3" s="157"/>
      <c r="G3" s="119"/>
      <c r="H3" s="120"/>
      <c r="I3" s="121"/>
      <c r="J3" s="156"/>
      <c r="K3" s="27"/>
      <c r="L3" s="170"/>
      <c r="M3" s="143"/>
      <c r="N3" s="143"/>
      <c r="O3" s="21"/>
      <c r="P3" s="23">
        <v>0.9</v>
      </c>
      <c r="Q3" s="23">
        <v>1</v>
      </c>
      <c r="R3" s="23">
        <v>1</v>
      </c>
    </row>
    <row r="4" spans="2:18">
      <c r="B4" s="71" t="s">
        <v>3</v>
      </c>
      <c r="C4" s="122" t="s">
        <v>4</v>
      </c>
      <c r="D4" s="123"/>
      <c r="E4" s="77" t="s">
        <v>1</v>
      </c>
      <c r="F4" s="71" t="s">
        <v>5</v>
      </c>
      <c r="G4" s="71" t="s">
        <v>70</v>
      </c>
      <c r="H4" s="71" t="s">
        <v>71</v>
      </c>
      <c r="I4" s="71" t="s">
        <v>72</v>
      </c>
      <c r="J4" s="157"/>
      <c r="K4" s="27"/>
      <c r="L4" s="170"/>
      <c r="M4" s="143"/>
      <c r="N4" s="143"/>
      <c r="O4" s="21"/>
      <c r="P4" s="23">
        <v>1</v>
      </c>
      <c r="Q4" s="23">
        <v>1.1000000000000001</v>
      </c>
      <c r="R4" s="23">
        <v>1.1000000000000001</v>
      </c>
    </row>
    <row r="5" spans="2:18">
      <c r="B5" s="124" t="s">
        <v>6</v>
      </c>
      <c r="C5" s="149" t="s">
        <v>7</v>
      </c>
      <c r="D5" s="150"/>
      <c r="E5" s="1" t="s">
        <v>8</v>
      </c>
      <c r="F5" s="1">
        <v>7</v>
      </c>
      <c r="G5" s="1"/>
      <c r="H5" s="1"/>
      <c r="I5" s="1"/>
      <c r="J5" s="1"/>
      <c r="L5" s="43">
        <f>F5</f>
        <v>7</v>
      </c>
      <c r="M5" s="45">
        <f>IF(입력!J5="O",1,0)</f>
        <v>1</v>
      </c>
      <c r="N5" s="24">
        <f>L5*M5</f>
        <v>7</v>
      </c>
      <c r="O5" s="21"/>
      <c r="P5" s="23">
        <v>1.1000000000000001</v>
      </c>
      <c r="Q5" s="23">
        <v>1.2</v>
      </c>
      <c r="R5" s="23"/>
    </row>
    <row r="6" spans="2:18" ht="22.5" customHeight="1">
      <c r="B6" s="125"/>
      <c r="C6" s="149" t="s">
        <v>125</v>
      </c>
      <c r="D6" s="150"/>
      <c r="E6" s="1" t="s">
        <v>8</v>
      </c>
      <c r="F6" s="1">
        <v>20.5</v>
      </c>
      <c r="G6" s="1"/>
      <c r="H6" s="1"/>
      <c r="I6" s="1"/>
      <c r="J6" s="1"/>
      <c r="L6" s="43">
        <f>F6</f>
        <v>20.5</v>
      </c>
      <c r="M6" s="45">
        <f>IF(입력!J6="O",1,0)</f>
        <v>1</v>
      </c>
      <c r="N6" s="24">
        <f t="shared" ref="N6:N8" si="0">L6*M6</f>
        <v>20.5</v>
      </c>
      <c r="O6" s="21"/>
      <c r="P6" s="26"/>
      <c r="Q6" s="26"/>
      <c r="R6" s="26"/>
    </row>
    <row r="7" spans="2:18" ht="22.5" customHeight="1">
      <c r="B7" s="125"/>
      <c r="C7" s="149" t="s">
        <v>124</v>
      </c>
      <c r="D7" s="150"/>
      <c r="E7" s="1" t="s">
        <v>8</v>
      </c>
      <c r="F7" s="1">
        <v>27.3</v>
      </c>
      <c r="G7" s="1"/>
      <c r="H7" s="1"/>
      <c r="I7" s="1"/>
      <c r="J7" s="1"/>
      <c r="L7" s="43">
        <f>F7</f>
        <v>27.3</v>
      </c>
      <c r="M7" s="45">
        <f>IF(입력!J7="O",1,0)</f>
        <v>1</v>
      </c>
      <c r="N7" s="24">
        <f t="shared" si="0"/>
        <v>27.3</v>
      </c>
      <c r="O7" s="21"/>
      <c r="P7" s="26"/>
      <c r="Q7" s="26"/>
      <c r="R7" s="26"/>
    </row>
    <row r="8" spans="2:18" ht="33.75" customHeight="1">
      <c r="B8" s="125"/>
      <c r="C8" s="149" t="s">
        <v>10</v>
      </c>
      <c r="D8" s="150"/>
      <c r="E8" s="1" t="s">
        <v>8</v>
      </c>
      <c r="F8" s="1">
        <v>22.3</v>
      </c>
      <c r="G8" s="1"/>
      <c r="H8" s="1"/>
      <c r="I8" s="1"/>
      <c r="J8" s="1" t="s">
        <v>73</v>
      </c>
      <c r="L8" s="43">
        <f>F8*IF(입력!C4&lt;=50,(0.011*(입력!$C$4*0.1)*(1-0.0025*(입력!$C$4*0.1))+(평균건설사업관리기간!$C$12+(0.5*(입력!$C$10/입력!$C$4))+0.2)*((입력!C4*0.1)*0.2)),IF(입력!C4&lt;=2000,(0.011*(입력!$C$4*0.1)*(1-0.0025*(입력!$C$4*0.1))+평균건설사업관리기간!$C$12+(0.5*(입력!$C$10/입력!$C$4))+0.2),((0.011*200*(1-0.0025*200)+평균건설사업관리기간!$C$12+(0.5*(입력!$C$10/입력!$C$4))+0.2)+((입력!$C$4*0.1)-200)/250)))</f>
        <v>9.9042135135135148</v>
      </c>
      <c r="M8" s="45">
        <f>IF(입력!J53="O",IF(입력!$C$5="단순공종",1.1,IF(입력!$C$5="보통공종",1.15,IF(입력!$C$5="복잡공종",1.2))),0)*IF(입력!$C$20="O",1,0.8)</f>
        <v>1.1499999999999999</v>
      </c>
      <c r="N8" s="24">
        <f t="shared" si="0"/>
        <v>11.389845540540541</v>
      </c>
      <c r="O8" s="21"/>
      <c r="P8" s="26"/>
      <c r="Q8" s="26"/>
      <c r="R8" s="26"/>
    </row>
    <row r="9" spans="2:18">
      <c r="B9" s="125"/>
      <c r="C9" s="151" t="s">
        <v>11</v>
      </c>
      <c r="D9" s="152"/>
      <c r="E9" s="2" t="s">
        <v>12</v>
      </c>
      <c r="F9" s="147">
        <v>0.3</v>
      </c>
      <c r="G9" s="147"/>
      <c r="H9" s="147"/>
      <c r="I9" s="147"/>
      <c r="J9" s="147" t="s">
        <v>73</v>
      </c>
      <c r="L9" s="144">
        <f>F9*IF(입력!C4&lt;=50,(0.011*(입력!$C$4*0.1)*(1-0.0025*(입력!$C$4*0.1))+(평균건설사업관리기간!$C$12+(0.5*(입력!$C$10/입력!$C$4))+0.2)*((입력!C4*0.1)*0.2)),IF(입력!C4&lt;=2000,(0.011*(입력!$C$4*0.1)*(1-0.0025*(입력!$C$4*0.1))+평균건설사업관리기간!$C$12+(0.5*(입력!$C$10/입력!$C$4))+0.2),((0.011*200*(1-0.0025*200)+평균건설사업관리기간!$C$12+(0.5*(입력!$C$10/입력!$C$4))+0.2)+((입력!$C$4*0.1)-200)/250)))*입력!C9*22</f>
        <v>70.351005405405402</v>
      </c>
      <c r="M9" s="174">
        <f>IF(입력!J53="O",IF(입력!$C$5="단순공종",1.1,IF(입력!$C$5="보통공종",1.15,IF(입력!$C$5="복잡공종",1.2))),0)*IF(입력!$C$20="O",1,0.8)</f>
        <v>1.1499999999999999</v>
      </c>
      <c r="N9" s="178">
        <f>L9*M9</f>
        <v>80.903656216216206</v>
      </c>
      <c r="O9" s="21"/>
      <c r="P9" s="26"/>
      <c r="Q9" s="26"/>
      <c r="R9" s="26"/>
    </row>
    <row r="10" spans="2:18">
      <c r="B10" s="125"/>
      <c r="C10" s="153"/>
      <c r="D10" s="154"/>
      <c r="E10" s="3" t="s">
        <v>13</v>
      </c>
      <c r="F10" s="148"/>
      <c r="G10" s="148"/>
      <c r="H10" s="148"/>
      <c r="I10" s="148"/>
      <c r="J10" s="148"/>
      <c r="L10" s="144"/>
      <c r="M10" s="175"/>
      <c r="N10" s="179"/>
      <c r="O10" s="21"/>
      <c r="P10" s="26"/>
      <c r="Q10" s="26"/>
      <c r="R10" s="26"/>
    </row>
    <row r="11" spans="2:18">
      <c r="B11" s="125"/>
      <c r="C11" s="149" t="s">
        <v>14</v>
      </c>
      <c r="D11" s="150"/>
      <c r="E11" s="1" t="s">
        <v>8</v>
      </c>
      <c r="F11" s="1">
        <v>31</v>
      </c>
      <c r="G11" s="1"/>
      <c r="H11" s="1" t="s">
        <v>73</v>
      </c>
      <c r="I11" s="1"/>
      <c r="J11" s="1"/>
      <c r="L11" s="43">
        <f>F11*IF(입력!$C$6="신축",투입인원수!$Q$3,IF(입력!$C$6="전면 리모델링(증축포함)",투입인원수!$Q$4,IF(입력!$C$6="순환 리모델링",투입인원수!$Q$5)))</f>
        <v>31</v>
      </c>
      <c r="M11" s="45">
        <f>IF(입력!J11="O",1,0)</f>
        <v>1</v>
      </c>
      <c r="N11" s="24">
        <f t="shared" ref="N11:N20" si="1">L11*M11</f>
        <v>31</v>
      </c>
      <c r="O11" s="21"/>
      <c r="P11" s="26"/>
      <c r="Q11" s="26"/>
      <c r="R11" s="26"/>
    </row>
    <row r="12" spans="2:18">
      <c r="B12" s="125"/>
      <c r="C12" s="167" t="s">
        <v>15</v>
      </c>
      <c r="D12" s="8" t="s">
        <v>16</v>
      </c>
      <c r="E12" s="147" t="s">
        <v>8</v>
      </c>
      <c r="F12" s="1">
        <v>27.3</v>
      </c>
      <c r="G12" s="1"/>
      <c r="H12" s="1"/>
      <c r="I12" s="1"/>
      <c r="J12" s="1"/>
      <c r="L12" s="43">
        <f>F12</f>
        <v>27.3</v>
      </c>
      <c r="M12" s="45">
        <f>IF(입력!J12="O",1,0)</f>
        <v>1</v>
      </c>
      <c r="N12" s="24">
        <f t="shared" si="1"/>
        <v>27.3</v>
      </c>
      <c r="O12" s="21"/>
      <c r="P12" s="26"/>
      <c r="Q12" s="26"/>
      <c r="R12" s="26"/>
    </row>
    <row r="13" spans="2:18">
      <c r="B13" s="126"/>
      <c r="C13" s="168"/>
      <c r="D13" s="8" t="s">
        <v>17</v>
      </c>
      <c r="E13" s="148"/>
      <c r="F13" s="1">
        <v>54.6</v>
      </c>
      <c r="G13" s="1"/>
      <c r="H13" s="1"/>
      <c r="I13" s="1"/>
      <c r="J13" s="1"/>
      <c r="L13" s="43">
        <f t="shared" ref="L13:L14" si="2">F13</f>
        <v>54.6</v>
      </c>
      <c r="M13" s="45">
        <f>IF(입력!J13="O",1,0)</f>
        <v>1</v>
      </c>
      <c r="N13" s="24">
        <f t="shared" si="1"/>
        <v>54.6</v>
      </c>
      <c r="O13" s="21"/>
      <c r="P13" s="26"/>
      <c r="Q13" s="26"/>
      <c r="R13" s="26"/>
    </row>
    <row r="14" spans="2:18">
      <c r="B14" s="124" t="s">
        <v>77</v>
      </c>
      <c r="C14" s="149" t="s">
        <v>18</v>
      </c>
      <c r="D14" s="150"/>
      <c r="E14" s="1" t="s">
        <v>8</v>
      </c>
      <c r="F14" s="1">
        <v>43.7</v>
      </c>
      <c r="G14" s="1"/>
      <c r="H14" s="1"/>
      <c r="I14" s="1"/>
      <c r="J14" s="1"/>
      <c r="L14" s="43">
        <f t="shared" si="2"/>
        <v>43.7</v>
      </c>
      <c r="M14" s="45">
        <f>IF(입력!J14="O",1,0)</f>
        <v>0</v>
      </c>
      <c r="N14" s="24">
        <f t="shared" si="1"/>
        <v>0</v>
      </c>
      <c r="O14" s="21"/>
      <c r="P14" s="26"/>
      <c r="Q14" s="26"/>
      <c r="R14" s="26"/>
    </row>
    <row r="15" spans="2:18" ht="22.5" customHeight="1">
      <c r="B15" s="125"/>
      <c r="C15" s="149" t="s">
        <v>19</v>
      </c>
      <c r="D15" s="150"/>
      <c r="E15" s="1" t="s">
        <v>8</v>
      </c>
      <c r="F15" s="1">
        <v>21.6</v>
      </c>
      <c r="G15" s="1"/>
      <c r="H15" s="1"/>
      <c r="I15" s="1"/>
      <c r="J15" s="1" t="s">
        <v>73</v>
      </c>
      <c r="L15" s="43">
        <f>F15*IF(입력!$C$4&lt;=2000,0.015*(입력!$C$4*0.1)*(1-0.001*(입력!$C$4*0.1)),(0.015*200*(1-0.001*200)+((입력!$C$4*0.1)-200)/250))</f>
        <v>6.3504000000000005</v>
      </c>
      <c r="M15" s="45">
        <f>IF(입력!J15="O",1,0)</f>
        <v>0</v>
      </c>
      <c r="N15" s="24">
        <f t="shared" si="1"/>
        <v>0</v>
      </c>
      <c r="O15" s="21"/>
      <c r="P15" s="26"/>
      <c r="Q15" s="26"/>
      <c r="R15" s="26"/>
    </row>
    <row r="16" spans="2:18" ht="22.5" customHeight="1">
      <c r="B16" s="125"/>
      <c r="C16" s="149" t="s">
        <v>20</v>
      </c>
      <c r="D16" s="150"/>
      <c r="E16" s="1" t="s">
        <v>8</v>
      </c>
      <c r="F16" s="1">
        <v>21.3</v>
      </c>
      <c r="G16" s="1"/>
      <c r="H16" s="1"/>
      <c r="I16" s="1"/>
      <c r="J16" s="1" t="s">
        <v>73</v>
      </c>
      <c r="L16" s="43">
        <f>F16*IF(입력!$C$4&lt;=2000,0.015*(입력!$C$4*0.1)*(1-0.001*(입력!$C$4*0.1)),(0.015*200*(1-0.001*200)+((입력!$C$4*0.1)-200)/250))</f>
        <v>6.2622</v>
      </c>
      <c r="M16" s="45">
        <f>IF(입력!J16="O",1,0)</f>
        <v>0</v>
      </c>
      <c r="N16" s="24">
        <f t="shared" si="1"/>
        <v>0</v>
      </c>
      <c r="O16" s="21"/>
      <c r="P16" s="26"/>
      <c r="Q16" s="26"/>
      <c r="R16" s="26"/>
    </row>
    <row r="17" spans="2:18" ht="22.5" customHeight="1">
      <c r="B17" s="125"/>
      <c r="C17" s="149" t="s">
        <v>126</v>
      </c>
      <c r="D17" s="150"/>
      <c r="E17" s="1" t="s">
        <v>8</v>
      </c>
      <c r="F17" s="1">
        <v>31</v>
      </c>
      <c r="G17" s="1"/>
      <c r="H17" s="1"/>
      <c r="I17" s="1"/>
      <c r="J17" s="1"/>
      <c r="L17" s="43">
        <f>F17</f>
        <v>31</v>
      </c>
      <c r="M17" s="45">
        <f>IF(입력!J17="O",1,0)</f>
        <v>0</v>
      </c>
      <c r="N17" s="24">
        <f t="shared" si="1"/>
        <v>0</v>
      </c>
      <c r="O17" s="21"/>
      <c r="P17" s="26"/>
      <c r="Q17" s="26"/>
      <c r="R17" s="26"/>
    </row>
    <row r="18" spans="2:18">
      <c r="B18" s="125"/>
      <c r="C18" s="149" t="s">
        <v>21</v>
      </c>
      <c r="D18" s="150"/>
      <c r="E18" s="1" t="s">
        <v>8</v>
      </c>
      <c r="F18" s="1">
        <v>18</v>
      </c>
      <c r="G18" s="1" t="s">
        <v>73</v>
      </c>
      <c r="H18" s="1" t="s">
        <v>73</v>
      </c>
      <c r="I18" s="1"/>
      <c r="J18" s="1" t="s">
        <v>73</v>
      </c>
      <c r="L18" s="43">
        <f>F18*IF(입력!$C$5="단순공종",투입인원수!$P$3,IF(입력!$C$5="보통공종",투입인원수!$P$4,IF(입력!$C$5="복잡공종",투입인원수!$P$5)))*IF(입력!$C$6="신축",투입인원수!$Q$3,IF(입력!$C$6="전면 리모델링(증축포함)",투입인원수!$Q$4,IF(입력!$C$6="순환 리모델링",투입인원수!$Q$5)))*IF(입력!$C$4&lt;=2000,0.015*(입력!$C$4*0.1)*(1-0.001*(입력!$C$4*0.1)),(0.015*200*(1-0.001*200)+((입력!$C$4*0.1)-200)/250))</f>
        <v>5.2919999999999998</v>
      </c>
      <c r="M18" s="45">
        <f>IF(입력!J18="O",1,0)</f>
        <v>0</v>
      </c>
      <c r="N18" s="24">
        <f t="shared" si="1"/>
        <v>0</v>
      </c>
      <c r="O18" s="21"/>
      <c r="P18" s="26"/>
      <c r="Q18" s="26"/>
      <c r="R18" s="26"/>
    </row>
    <row r="19" spans="2:18" ht="22.5" customHeight="1">
      <c r="B19" s="126"/>
      <c r="C19" s="149" t="s">
        <v>22</v>
      </c>
      <c r="D19" s="150"/>
      <c r="E19" s="1" t="s">
        <v>8</v>
      </c>
      <c r="F19" s="1">
        <v>11.4</v>
      </c>
      <c r="G19" s="1"/>
      <c r="H19" s="1"/>
      <c r="I19" s="1"/>
      <c r="J19" s="1"/>
      <c r="L19" s="43">
        <f>F19</f>
        <v>11.4</v>
      </c>
      <c r="M19" s="45">
        <f>IF(입력!J19="O",1,0)</f>
        <v>0</v>
      </c>
      <c r="N19" s="24">
        <f t="shared" si="1"/>
        <v>0</v>
      </c>
      <c r="O19" s="21"/>
      <c r="P19" s="26"/>
      <c r="Q19" s="26"/>
      <c r="R19" s="26"/>
    </row>
    <row r="20" spans="2:18" ht="22.5" customHeight="1">
      <c r="B20" s="124" t="s">
        <v>23</v>
      </c>
      <c r="C20" s="149" t="s">
        <v>24</v>
      </c>
      <c r="D20" s="150"/>
      <c r="E20" s="1" t="s">
        <v>8</v>
      </c>
      <c r="F20" s="1">
        <v>17.100000000000001</v>
      </c>
      <c r="G20" s="1"/>
      <c r="H20" s="1"/>
      <c r="I20" s="1"/>
      <c r="J20" s="1"/>
      <c r="L20" s="43">
        <f>F20</f>
        <v>17.100000000000001</v>
      </c>
      <c r="M20" s="45">
        <f>IF(입력!J20="O",1,0)</f>
        <v>1</v>
      </c>
      <c r="N20" s="24">
        <f t="shared" si="1"/>
        <v>17.100000000000001</v>
      </c>
      <c r="O20" s="21"/>
      <c r="P20" s="26"/>
      <c r="Q20" s="26"/>
      <c r="R20" s="26"/>
    </row>
    <row r="21" spans="2:18">
      <c r="B21" s="125"/>
      <c r="C21" s="151" t="s">
        <v>25</v>
      </c>
      <c r="D21" s="152"/>
      <c r="E21" s="2" t="s">
        <v>26</v>
      </c>
      <c r="F21" s="147">
        <v>8.4</v>
      </c>
      <c r="G21" s="147" t="s">
        <v>73</v>
      </c>
      <c r="H21" s="147" t="s">
        <v>73</v>
      </c>
      <c r="I21" s="147" t="s">
        <v>73</v>
      </c>
      <c r="J21" s="147" t="s">
        <v>73</v>
      </c>
      <c r="L21" s="144">
        <f>F21*IF(입력!$C$5="단순공종",투입인원수!$P$3,IF(입력!$C$5="보통공종",투입인원수!$P$4,IF(입력!$C$5="복잡공종",투입인원수!$P$5)))*IF(입력!$C$6="신축",투입인원수!$Q$3,IF(입력!$C$6="전면 리모델링(증축포함)",투입인원수!$Q$4,IF(입력!$C$6="순환 리모델링",투입인원수!$Q$5)))*IF(입력!$C$7="미적용",투입인원수!$R$3,IF(입력!$C$7="적용",투입인원수!$R$4))*IF(입력!$C$4&lt;=2000,0.015*(입력!$C$4*0.1)*(1-0.001*(입력!$C$4*0.1)),(0.015*200*(1-0.001*200)+((입력!$C$4*0.1)-200)/250))*입력!C9</f>
        <v>59.270399999999995</v>
      </c>
      <c r="M21" s="174">
        <f>IF(입력!J21="O",1,0)</f>
        <v>1</v>
      </c>
      <c r="N21" s="178">
        <f>L21*M21</f>
        <v>59.270399999999995</v>
      </c>
      <c r="O21" s="21"/>
      <c r="P21" s="26"/>
      <c r="Q21" s="26"/>
      <c r="R21" s="26"/>
    </row>
    <row r="22" spans="2:18">
      <c r="B22" s="125"/>
      <c r="C22" s="153"/>
      <c r="D22" s="154"/>
      <c r="E22" s="3" t="s">
        <v>27</v>
      </c>
      <c r="F22" s="148"/>
      <c r="G22" s="148"/>
      <c r="H22" s="148"/>
      <c r="I22" s="148"/>
      <c r="J22" s="148"/>
      <c r="L22" s="144"/>
      <c r="M22" s="175"/>
      <c r="N22" s="179"/>
      <c r="O22" s="21"/>
      <c r="P22" s="26"/>
      <c r="Q22" s="26"/>
      <c r="R22" s="26"/>
    </row>
    <row r="23" spans="2:18" ht="22.5" customHeight="1">
      <c r="B23" s="125"/>
      <c r="C23" s="149" t="s">
        <v>28</v>
      </c>
      <c r="D23" s="150"/>
      <c r="E23" s="1" t="s">
        <v>8</v>
      </c>
      <c r="F23" s="1">
        <v>22.5</v>
      </c>
      <c r="G23" s="1"/>
      <c r="H23" s="1"/>
      <c r="I23" s="1"/>
      <c r="J23" s="1" t="s">
        <v>73</v>
      </c>
      <c r="L23" s="43">
        <f>F23*IF(입력!$C$4&lt;=2000,0.015*(입력!$C$4*0.1)*(1-0.001*(입력!$C$4*0.1)),(0.015*200*(1-0.001*200)+((입력!$C$4*0.1)-200)/250))</f>
        <v>6.6149999999999993</v>
      </c>
      <c r="M23" s="45">
        <f>IF(입력!J23="O",1,0)</f>
        <v>1</v>
      </c>
      <c r="N23" s="24">
        <f t="shared" ref="N23:N24" si="3">L23*M23</f>
        <v>6.6149999999999993</v>
      </c>
      <c r="O23" s="21"/>
      <c r="P23" s="26"/>
      <c r="Q23" s="26"/>
      <c r="R23" s="26"/>
    </row>
    <row r="24" spans="2:18" ht="22.5" customHeight="1">
      <c r="B24" s="125"/>
      <c r="C24" s="149" t="s">
        <v>29</v>
      </c>
      <c r="D24" s="150"/>
      <c r="E24" s="1" t="s">
        <v>8</v>
      </c>
      <c r="F24" s="1">
        <v>90.6</v>
      </c>
      <c r="G24" s="1"/>
      <c r="H24" s="1"/>
      <c r="I24" s="1"/>
      <c r="J24" s="1" t="s">
        <v>73</v>
      </c>
      <c r="L24" s="43">
        <f>F24*IF(입력!$C$4&lt;=2000,0.015*(입력!$C$4*0.1)*(1-0.001*(입력!$C$4*0.1)),(0.015*200*(1-0.001*200)+((입력!$C$4*0.1)-200)/250))</f>
        <v>26.636399999999998</v>
      </c>
      <c r="M24" s="45">
        <f>IF(입력!J24="O",1,0)</f>
        <v>1</v>
      </c>
      <c r="N24" s="24">
        <f t="shared" si="3"/>
        <v>26.636399999999998</v>
      </c>
      <c r="O24" s="21"/>
      <c r="P24" s="26"/>
      <c r="Q24" s="26"/>
      <c r="R24" s="26"/>
    </row>
    <row r="25" spans="2:18">
      <c r="B25" s="125"/>
      <c r="C25" s="151" t="s">
        <v>30</v>
      </c>
      <c r="D25" s="152"/>
      <c r="E25" s="2" t="s">
        <v>26</v>
      </c>
      <c r="F25" s="147">
        <v>8.8000000000000007</v>
      </c>
      <c r="G25" s="147" t="s">
        <v>73</v>
      </c>
      <c r="H25" s="147" t="s">
        <v>73</v>
      </c>
      <c r="I25" s="147" t="s">
        <v>73</v>
      </c>
      <c r="J25" s="147" t="s">
        <v>73</v>
      </c>
      <c r="L25" s="144">
        <f>F25*IF(입력!$C$5="단순공종",투입인원수!$P$3,IF(입력!$C$5="보통공종",투입인원수!$P$4,IF(입력!$C$5="복잡공종",투입인원수!$P$5)))*IF(입력!$C$6="신축",투입인원수!$Q$3,IF(입력!$C$6="전면 리모델링(증축포함)",투입인원수!$Q$4,IF(입력!$C$6="순환 리모델링",투입인원수!$Q$5)))*IF(입력!$C$7="미적용",투입인원수!$R$3,IF(입력!$C$7="적용",투입인원수!$R$4))*IF(입력!$C$4&lt;=2000,0.015*(입력!$C$4*0.1)*(1-0.001*(입력!$C$4*0.1)),(0.015*200*(1-0.001*200)+((입력!$C$4*0.1)-200)/250))*입력!C9</f>
        <v>62.092800000000004</v>
      </c>
      <c r="M25" s="174">
        <f>IF(입력!J25="O",1,0)</f>
        <v>1</v>
      </c>
      <c r="N25" s="178">
        <f>L25*M25</f>
        <v>62.092800000000004</v>
      </c>
      <c r="O25" s="21"/>
      <c r="P25" s="26"/>
      <c r="Q25" s="26"/>
      <c r="R25" s="26"/>
    </row>
    <row r="26" spans="2:18">
      <c r="B26" s="125"/>
      <c r="C26" s="153"/>
      <c r="D26" s="154"/>
      <c r="E26" s="3" t="s">
        <v>27</v>
      </c>
      <c r="F26" s="148"/>
      <c r="G26" s="148"/>
      <c r="H26" s="148"/>
      <c r="I26" s="148"/>
      <c r="J26" s="148"/>
      <c r="L26" s="144"/>
      <c r="M26" s="175"/>
      <c r="N26" s="179"/>
      <c r="O26" s="21"/>
      <c r="P26" s="26"/>
      <c r="Q26" s="26"/>
      <c r="R26" s="26"/>
    </row>
    <row r="27" spans="2:18" ht="22.5" customHeight="1">
      <c r="B27" s="125"/>
      <c r="C27" s="149" t="s">
        <v>31</v>
      </c>
      <c r="D27" s="150"/>
      <c r="E27" s="1" t="s">
        <v>32</v>
      </c>
      <c r="F27" s="1">
        <v>3.7</v>
      </c>
      <c r="G27" s="1"/>
      <c r="H27" s="1"/>
      <c r="I27" s="1"/>
      <c r="J27" s="1"/>
      <c r="L27" s="43">
        <f>F27</f>
        <v>3.7</v>
      </c>
      <c r="M27" s="45">
        <f>IF(입력!J27="O",1,0)</f>
        <v>1</v>
      </c>
      <c r="N27" s="24">
        <f t="shared" ref="N27:N30" si="4">L27*M27</f>
        <v>3.7</v>
      </c>
      <c r="O27" s="21"/>
      <c r="P27" s="26"/>
      <c r="Q27" s="26"/>
      <c r="R27" s="26"/>
    </row>
    <row r="28" spans="2:18" ht="22.5" customHeight="1">
      <c r="B28" s="125"/>
      <c r="C28" s="149" t="s">
        <v>33</v>
      </c>
      <c r="D28" s="150"/>
      <c r="E28" s="1" t="s">
        <v>8</v>
      </c>
      <c r="F28" s="1">
        <v>6.8</v>
      </c>
      <c r="G28" s="1"/>
      <c r="H28" s="1"/>
      <c r="I28" s="1"/>
      <c r="J28" s="1"/>
      <c r="L28" s="43">
        <f t="shared" ref="L28:L30" si="5">F28</f>
        <v>6.8</v>
      </c>
      <c r="M28" s="45">
        <f>IF(입력!J28="O",1,0)</f>
        <v>1</v>
      </c>
      <c r="N28" s="24">
        <f t="shared" si="4"/>
        <v>6.8</v>
      </c>
      <c r="O28" s="21"/>
      <c r="P28" s="26"/>
      <c r="Q28" s="26"/>
      <c r="R28" s="26"/>
    </row>
    <row r="29" spans="2:18" ht="22.5" customHeight="1">
      <c r="B29" s="126"/>
      <c r="C29" s="149" t="s">
        <v>127</v>
      </c>
      <c r="D29" s="150"/>
      <c r="E29" s="1" t="s">
        <v>32</v>
      </c>
      <c r="F29" s="1">
        <v>2.5</v>
      </c>
      <c r="G29" s="1"/>
      <c r="H29" s="1"/>
      <c r="I29" s="1"/>
      <c r="J29" s="1"/>
      <c r="L29" s="43">
        <f t="shared" si="5"/>
        <v>2.5</v>
      </c>
      <c r="M29" s="45">
        <f>IF(입력!J29="O",1,0)</f>
        <v>1</v>
      </c>
      <c r="N29" s="24">
        <f t="shared" si="4"/>
        <v>2.5</v>
      </c>
      <c r="O29" s="21"/>
      <c r="P29" s="26"/>
      <c r="Q29" s="26"/>
      <c r="R29" s="26"/>
    </row>
    <row r="30" spans="2:18" ht="22.5" customHeight="1">
      <c r="B30" s="124" t="s">
        <v>34</v>
      </c>
      <c r="C30" s="149" t="s">
        <v>35</v>
      </c>
      <c r="D30" s="150"/>
      <c r="E30" s="1" t="s">
        <v>8</v>
      </c>
      <c r="F30" s="1">
        <v>13.9</v>
      </c>
      <c r="G30" s="1"/>
      <c r="H30" s="1"/>
      <c r="I30" s="1"/>
      <c r="J30" s="1"/>
      <c r="L30" s="43">
        <f t="shared" si="5"/>
        <v>13.9</v>
      </c>
      <c r="M30" s="45">
        <f>IF(입력!J30="O",1,0)</f>
        <v>1</v>
      </c>
      <c r="N30" s="24">
        <f t="shared" si="4"/>
        <v>13.9</v>
      </c>
      <c r="O30" s="21"/>
      <c r="P30" s="26"/>
      <c r="Q30" s="26"/>
      <c r="R30" s="26"/>
    </row>
    <row r="31" spans="2:18">
      <c r="B31" s="125"/>
      <c r="C31" s="151" t="s">
        <v>36</v>
      </c>
      <c r="D31" s="152"/>
      <c r="E31" s="2" t="s">
        <v>26</v>
      </c>
      <c r="F31" s="147">
        <v>18.399999999999999</v>
      </c>
      <c r="G31" s="147" t="s">
        <v>73</v>
      </c>
      <c r="H31" s="147" t="s">
        <v>73</v>
      </c>
      <c r="I31" s="147" t="s">
        <v>73</v>
      </c>
      <c r="J31" s="147" t="s">
        <v>73</v>
      </c>
      <c r="L31" s="144">
        <f>F31*IF(입력!$C$5="단순공종",투입인원수!$P$3,IF(입력!$C$5="보통공종",투입인원수!$P$4,IF(입력!$C$5="복잡공종",투입인원수!$P$5)))*IF(입력!$C$6="신축",투입인원수!$Q$3,IF(입력!$C$6="전면 리모델링(증축포함)",투입인원수!$Q$4,IF(입력!$C$6="순환 리모델링",투입인원수!$Q$5)))*IF(입력!$C$7="미적용",투입인원수!$R$3,IF(입력!$C$7="적용",투입인원수!$R$4))*IF(입력!$C$4&lt;=2000,0.015*(입력!$C$4*0.1)*(1-0.001*(입력!$C$4*0.1)),(0.015*200*(1-0.001*200)+((입력!$C$4*0.1)-200)/250))*입력!C9</f>
        <v>129.8304</v>
      </c>
      <c r="M31" s="174">
        <f>IF(입력!J31="O",1,0)</f>
        <v>1</v>
      </c>
      <c r="N31" s="178">
        <f>L31*M31</f>
        <v>129.8304</v>
      </c>
      <c r="O31" s="21"/>
      <c r="P31" s="26"/>
      <c r="Q31" s="26"/>
      <c r="R31" s="26"/>
    </row>
    <row r="32" spans="2:18">
      <c r="B32" s="125"/>
      <c r="C32" s="153"/>
      <c r="D32" s="154"/>
      <c r="E32" s="3" t="s">
        <v>27</v>
      </c>
      <c r="F32" s="148"/>
      <c r="G32" s="148"/>
      <c r="H32" s="148"/>
      <c r="I32" s="148"/>
      <c r="J32" s="148"/>
      <c r="L32" s="144"/>
      <c r="M32" s="175"/>
      <c r="N32" s="179"/>
      <c r="O32" s="21"/>
      <c r="P32" s="26"/>
      <c r="Q32" s="26"/>
      <c r="R32" s="26"/>
    </row>
    <row r="33" spans="2:18" ht="22.5" customHeight="1">
      <c r="B33" s="125"/>
      <c r="C33" s="149" t="s">
        <v>37</v>
      </c>
      <c r="D33" s="150"/>
      <c r="E33" s="1" t="s">
        <v>8</v>
      </c>
      <c r="F33" s="1">
        <v>23.3</v>
      </c>
      <c r="G33" s="1"/>
      <c r="H33" s="1"/>
      <c r="I33" s="1"/>
      <c r="J33" s="1" t="s">
        <v>73</v>
      </c>
      <c r="L33" s="43">
        <f>F33*IF(입력!$C$4&lt;=2000,0.015*(입력!$C$4*0.1)*(1-0.001*(입력!$C$4*0.1)),(0.015*200*(1-0.001*200)+((입력!$C$4*0.1)-200)/250))</f>
        <v>6.8502000000000001</v>
      </c>
      <c r="M33" s="45">
        <f>IF(입력!J33="O",1,0)</f>
        <v>1</v>
      </c>
      <c r="N33" s="24">
        <f t="shared" ref="N33:N34" si="6">L33*M33</f>
        <v>6.8502000000000001</v>
      </c>
      <c r="O33" s="21"/>
      <c r="P33" s="26"/>
      <c r="Q33" s="26"/>
      <c r="R33" s="26"/>
    </row>
    <row r="34" spans="2:18" ht="22.5" customHeight="1">
      <c r="B34" s="125"/>
      <c r="C34" s="149" t="s">
        <v>38</v>
      </c>
      <c r="D34" s="150"/>
      <c r="E34" s="1" t="s">
        <v>8</v>
      </c>
      <c r="F34" s="1">
        <v>123.3</v>
      </c>
      <c r="G34" s="1"/>
      <c r="H34" s="1"/>
      <c r="I34" s="1"/>
      <c r="J34" s="1" t="s">
        <v>73</v>
      </c>
      <c r="L34" s="43">
        <f>F34*IF(입력!$C$4&lt;=2000,0.015*(입력!$C$4*0.1)*(1-0.001*(입력!$C$4*0.1)),(0.015*200*(1-0.001*200)+((입력!$C$4*0.1)-200)/250))</f>
        <v>36.2502</v>
      </c>
      <c r="M34" s="45">
        <f>IF(입력!J34="O",1,0)</f>
        <v>1</v>
      </c>
      <c r="N34" s="24">
        <f t="shared" si="6"/>
        <v>36.2502</v>
      </c>
      <c r="O34" s="21"/>
      <c r="P34" s="26"/>
      <c r="Q34" s="26"/>
      <c r="R34" s="26"/>
    </row>
    <row r="35" spans="2:18">
      <c r="B35" s="125"/>
      <c r="C35" s="151" t="s">
        <v>39</v>
      </c>
      <c r="D35" s="152"/>
      <c r="E35" s="2" t="s">
        <v>26</v>
      </c>
      <c r="F35" s="147">
        <v>18.899999999999999</v>
      </c>
      <c r="G35" s="147" t="s">
        <v>73</v>
      </c>
      <c r="H35" s="147" t="s">
        <v>73</v>
      </c>
      <c r="I35" s="147" t="s">
        <v>73</v>
      </c>
      <c r="J35" s="147" t="s">
        <v>73</v>
      </c>
      <c r="L35" s="144">
        <f>F35*IF(입력!$C$5="단순공종",투입인원수!$P$3,IF(입력!$C$5="보통공종",투입인원수!$P$4,IF(입력!$C$5="복잡공종",투입인원수!$P$5)))*IF(입력!$C$6="신축",투입인원수!$Q$3,IF(입력!$C$6="전면 리모델링(증축포함)",투입인원수!$Q$4,IF(입력!$C$6="순환 리모델링",투입인원수!$Q$5)))*IF(입력!$C$7="미적용",투입인원수!$R$3,IF(입력!$C$7="적용",투입인원수!$R$4))*IF(입력!$C$4&lt;=2000,0.015*(입력!$C$4*0.1)*(1-0.001*(입력!$C$4*0.1)),(0.015*200*(1-0.001*200)+((입력!$C$4*0.1)-200)/250))*입력!C9</f>
        <v>133.35839999999999</v>
      </c>
      <c r="M35" s="174">
        <f>IF(입력!J35="O",1,0)</f>
        <v>1</v>
      </c>
      <c r="N35" s="178">
        <f>L35*M35</f>
        <v>133.35839999999999</v>
      </c>
      <c r="O35" s="21"/>
      <c r="P35" s="26"/>
      <c r="Q35" s="26"/>
      <c r="R35" s="26"/>
    </row>
    <row r="36" spans="2:18">
      <c r="B36" s="125"/>
      <c r="C36" s="153"/>
      <c r="D36" s="154"/>
      <c r="E36" s="3" t="s">
        <v>27</v>
      </c>
      <c r="F36" s="148"/>
      <c r="G36" s="148"/>
      <c r="H36" s="148"/>
      <c r="I36" s="148"/>
      <c r="J36" s="148"/>
      <c r="L36" s="144"/>
      <c r="M36" s="175"/>
      <c r="N36" s="179"/>
      <c r="O36" s="21"/>
      <c r="P36" s="26"/>
      <c r="Q36" s="26"/>
      <c r="R36" s="26"/>
    </row>
    <row r="37" spans="2:18" ht="22.5" customHeight="1">
      <c r="B37" s="125"/>
      <c r="C37" s="149" t="s">
        <v>40</v>
      </c>
      <c r="D37" s="150"/>
      <c r="E37" s="1" t="s">
        <v>32</v>
      </c>
      <c r="F37" s="1">
        <v>8.1</v>
      </c>
      <c r="G37" s="1"/>
      <c r="H37" s="1"/>
      <c r="I37" s="1"/>
      <c r="J37" s="1"/>
      <c r="L37" s="43">
        <f>F37</f>
        <v>8.1</v>
      </c>
      <c r="M37" s="45">
        <f>IF(입력!J37="O",1,0)</f>
        <v>1</v>
      </c>
      <c r="N37" s="24">
        <f t="shared" ref="N37:N43" si="7">L37*M37</f>
        <v>8.1</v>
      </c>
      <c r="O37" s="21"/>
      <c r="P37" s="26"/>
      <c r="Q37" s="26"/>
      <c r="R37" s="26"/>
    </row>
    <row r="38" spans="2:18" ht="22.5" customHeight="1">
      <c r="B38" s="125"/>
      <c r="C38" s="149" t="s">
        <v>41</v>
      </c>
      <c r="D38" s="150"/>
      <c r="E38" s="1" t="s">
        <v>8</v>
      </c>
      <c r="F38" s="1">
        <v>10.199999999999999</v>
      </c>
      <c r="G38" s="1"/>
      <c r="H38" s="1"/>
      <c r="I38" s="1"/>
      <c r="J38" s="1"/>
      <c r="L38" s="43">
        <f t="shared" ref="L38:L41" si="8">F38</f>
        <v>10.199999999999999</v>
      </c>
      <c r="M38" s="45">
        <f>IF(입력!J38="O",1,0)</f>
        <v>1</v>
      </c>
      <c r="N38" s="24">
        <f t="shared" si="7"/>
        <v>10.199999999999999</v>
      </c>
      <c r="O38" s="21"/>
      <c r="P38" s="26"/>
      <c r="Q38" s="26"/>
      <c r="R38" s="26"/>
    </row>
    <row r="39" spans="2:18" ht="22.5" customHeight="1">
      <c r="B39" s="125"/>
      <c r="C39" s="149" t="s">
        <v>33</v>
      </c>
      <c r="D39" s="150"/>
      <c r="E39" s="1" t="s">
        <v>8</v>
      </c>
      <c r="F39" s="1">
        <v>8.3000000000000007</v>
      </c>
      <c r="G39" s="1"/>
      <c r="H39" s="1"/>
      <c r="I39" s="1"/>
      <c r="J39" s="1"/>
      <c r="L39" s="43">
        <f t="shared" si="8"/>
        <v>8.3000000000000007</v>
      </c>
      <c r="M39" s="45">
        <f>IF(입력!J39="O",1,0)</f>
        <v>1</v>
      </c>
      <c r="N39" s="24">
        <f t="shared" si="7"/>
        <v>8.3000000000000007</v>
      </c>
      <c r="O39" s="21"/>
      <c r="P39" s="26"/>
      <c r="Q39" s="26"/>
      <c r="R39" s="26"/>
    </row>
    <row r="40" spans="2:18" ht="22.5" customHeight="1">
      <c r="B40" s="125"/>
      <c r="C40" s="149" t="s">
        <v>128</v>
      </c>
      <c r="D40" s="150"/>
      <c r="E40" s="1" t="s">
        <v>32</v>
      </c>
      <c r="F40" s="1">
        <v>6.4</v>
      </c>
      <c r="G40" s="1"/>
      <c r="H40" s="1"/>
      <c r="I40" s="1"/>
      <c r="J40" s="1"/>
      <c r="L40" s="43">
        <f t="shared" si="8"/>
        <v>6.4</v>
      </c>
      <c r="M40" s="45">
        <f>IF(입력!J40="O",1,0)</f>
        <v>1</v>
      </c>
      <c r="N40" s="24">
        <f t="shared" si="7"/>
        <v>6.4</v>
      </c>
      <c r="O40" s="21"/>
      <c r="P40" s="26"/>
      <c r="Q40" s="26"/>
      <c r="R40" s="26"/>
    </row>
    <row r="41" spans="2:18">
      <c r="B41" s="126"/>
      <c r="C41" s="149" t="s">
        <v>42</v>
      </c>
      <c r="D41" s="150"/>
      <c r="E41" s="1" t="s">
        <v>8</v>
      </c>
      <c r="F41" s="1">
        <v>16.899999999999999</v>
      </c>
      <c r="G41" s="1"/>
      <c r="H41" s="1"/>
      <c r="I41" s="1"/>
      <c r="J41" s="1"/>
      <c r="L41" s="43">
        <f t="shared" si="8"/>
        <v>16.899999999999999</v>
      </c>
      <c r="M41" s="45">
        <f>IF(입력!J41="O",1,0)</f>
        <v>1</v>
      </c>
      <c r="N41" s="24">
        <f t="shared" si="7"/>
        <v>16.899999999999999</v>
      </c>
      <c r="O41" s="21"/>
      <c r="P41" s="26"/>
      <c r="Q41" s="26"/>
      <c r="R41" s="26"/>
    </row>
    <row r="42" spans="2:18">
      <c r="B42" s="124" t="s">
        <v>43</v>
      </c>
      <c r="C42" s="149" t="s">
        <v>44</v>
      </c>
      <c r="D42" s="150"/>
      <c r="E42" s="1" t="s">
        <v>8</v>
      </c>
      <c r="F42" s="1">
        <v>37.700000000000003</v>
      </c>
      <c r="G42" s="1"/>
      <c r="H42" s="1"/>
      <c r="I42" s="1"/>
      <c r="J42" s="1"/>
      <c r="L42" s="43">
        <f t="shared" ref="L42:L43" si="9">F42</f>
        <v>37.700000000000003</v>
      </c>
      <c r="M42" s="45">
        <f>IF(입력!J42="O",1,0)</f>
        <v>0</v>
      </c>
      <c r="N42" s="24">
        <f t="shared" si="7"/>
        <v>0</v>
      </c>
      <c r="O42" s="21"/>
      <c r="P42" s="26"/>
      <c r="Q42" s="26"/>
      <c r="R42" s="26"/>
    </row>
    <row r="43" spans="2:18">
      <c r="B43" s="125"/>
      <c r="C43" s="149" t="s">
        <v>45</v>
      </c>
      <c r="D43" s="150"/>
      <c r="E43" s="1" t="s">
        <v>8</v>
      </c>
      <c r="F43" s="1">
        <v>27.5</v>
      </c>
      <c r="G43" s="1"/>
      <c r="H43" s="1"/>
      <c r="I43" s="1"/>
      <c r="J43" s="1"/>
      <c r="L43" s="43">
        <f t="shared" si="9"/>
        <v>27.5</v>
      </c>
      <c r="M43" s="45">
        <f>IF(입력!J43="O",1,0)</f>
        <v>0</v>
      </c>
      <c r="N43" s="24">
        <f t="shared" si="7"/>
        <v>0</v>
      </c>
      <c r="O43" s="21"/>
      <c r="P43" s="26"/>
      <c r="Q43" s="26"/>
      <c r="R43" s="26"/>
    </row>
    <row r="44" spans="2:18">
      <c r="B44" s="125"/>
      <c r="C44" s="151" t="s">
        <v>46</v>
      </c>
      <c r="D44" s="152"/>
      <c r="E44" s="2" t="s">
        <v>47</v>
      </c>
      <c r="F44" s="147">
        <v>0.6</v>
      </c>
      <c r="G44" s="147" t="s">
        <v>73</v>
      </c>
      <c r="H44" s="147"/>
      <c r="I44" s="147" t="s">
        <v>73</v>
      </c>
      <c r="J44" s="147"/>
      <c r="L44" s="144">
        <f>F44*IF(입력!$C$5="단순공종",투입인원수!$P$3,IF(입력!$C$5="보통공종",투입인원수!$P$4,IF(입력!$C$5="복잡공종",투입인원수!$P$5)))*IF(입력!$C$7="미적용",투입인원수!$R$3,IF(입력!$C$7="적용",투입인원수!$R$4))*입력!C9</f>
        <v>14.399999999999999</v>
      </c>
      <c r="M44" s="174">
        <f>IF(입력!J44="O",1,0)</f>
        <v>0</v>
      </c>
      <c r="N44" s="178">
        <f>L44*M44</f>
        <v>0</v>
      </c>
      <c r="O44" s="21"/>
      <c r="P44" s="26"/>
      <c r="Q44" s="26"/>
      <c r="R44" s="26"/>
    </row>
    <row r="45" spans="2:18">
      <c r="B45" s="126"/>
      <c r="C45" s="153"/>
      <c r="D45" s="154"/>
      <c r="E45" s="3" t="s">
        <v>27</v>
      </c>
      <c r="F45" s="148"/>
      <c r="G45" s="148"/>
      <c r="H45" s="148"/>
      <c r="I45" s="148"/>
      <c r="J45" s="148"/>
      <c r="L45" s="144"/>
      <c r="M45" s="175"/>
      <c r="N45" s="179"/>
      <c r="O45" s="21"/>
      <c r="P45" s="26"/>
      <c r="Q45" s="26"/>
      <c r="R45" s="26"/>
    </row>
    <row r="46" spans="2:18" s="35" customFormat="1">
      <c r="B46" s="164" t="s">
        <v>48</v>
      </c>
      <c r="C46" s="162" t="s">
        <v>49</v>
      </c>
      <c r="D46" s="163"/>
      <c r="E46" s="34" t="s">
        <v>8</v>
      </c>
      <c r="F46" s="34">
        <v>72.7</v>
      </c>
      <c r="G46" s="34"/>
      <c r="H46" s="34"/>
      <c r="I46" s="34"/>
      <c r="J46" s="34"/>
      <c r="L46" s="44">
        <f>F46</f>
        <v>72.7</v>
      </c>
      <c r="M46" s="46">
        <f>IF(입력!J46="O",IF(입력!$C$5="단순공종",1.1,IF(입력!$C$5="보통공종",1.15,IF(입력!$C$5="복잡공종",1.2))),0)*IF(입력!$C$20="O",1,0.8)</f>
        <v>1.1499999999999999</v>
      </c>
      <c r="N46" s="36">
        <f>L46*M46</f>
        <v>83.60499999999999</v>
      </c>
      <c r="O46" s="37"/>
      <c r="P46" s="38"/>
      <c r="Q46" s="38"/>
      <c r="R46" s="38"/>
    </row>
    <row r="47" spans="2:18" s="35" customFormat="1">
      <c r="B47" s="165"/>
      <c r="C47" s="158" t="s">
        <v>129</v>
      </c>
      <c r="D47" s="159"/>
      <c r="E47" s="39" t="s">
        <v>47</v>
      </c>
      <c r="F47" s="145">
        <v>2.9</v>
      </c>
      <c r="G47" s="145" t="s">
        <v>73</v>
      </c>
      <c r="H47" s="145" t="s">
        <v>73</v>
      </c>
      <c r="I47" s="145" t="s">
        <v>73</v>
      </c>
      <c r="J47" s="145" t="s">
        <v>73</v>
      </c>
      <c r="L47" s="169">
        <f>F47*IF(입력!$C$5="단순공종",투입인원수!$P$3,IF(입력!$C$5="보통공종",투입인원수!$P$4,IF(입력!$C$5="복잡공종",투입인원수!$P$5)))*IF(입력!$C$6="신축",투입인원수!$Q$3,IF(입력!$C$6="전면 리모델링(증축포함)",투입인원수!$Q$4,IF(입력!$C$6="순환 리모델링",투입인원수!$Q$5)))*IF(입력!$C$7="미적용",투입인원수!$R$3,IF(입력!$C$7="적용",투입인원수!$R$4))*IF(입력!C4&lt;=50,(0.011*(입력!$C$4*0.1)*(1-0.0025*(입력!$C$4*0.1))+(평균건설사업관리기간!$C$12+(0.5*(입력!$C$10/입력!$C$4))+0.2)*((입력!C4*0.1)*0.2)),IF(입력!C4&lt;=2000,(0.011*(입력!$C$4*0.1)*(1-0.0025*(입력!$C$4*0.1))+평균건설사업관리기간!$C$12+(0.5*(입력!$C$10/입력!$C$4))+0.2),((0.011*200*(1-0.0025*200)+평균건설사업관리기간!$C$12+(0.5*(입력!$C$10/입력!$C$4))+0.2)+((입력!$C$4*0.1)-200)/250)))*입력!C9*22</f>
        <v>680.05971891891886</v>
      </c>
      <c r="M47" s="171">
        <f>IF(입력!J47="O",IF(입력!$C$5="단순공종",1.1,IF(입력!$C$5="보통공종",1.15,IF(입력!$C$5="복잡공종",1.2))),0)*IF(입력!$C$20="O",1,0.8)</f>
        <v>1.1499999999999999</v>
      </c>
      <c r="N47" s="180">
        <f t="shared" ref="N47" si="10">L47*M47</f>
        <v>782.06867675675664</v>
      </c>
      <c r="O47" s="37"/>
      <c r="P47" s="38"/>
      <c r="Q47" s="38"/>
      <c r="R47" s="38"/>
    </row>
    <row r="48" spans="2:18" s="35" customFormat="1">
      <c r="B48" s="165"/>
      <c r="C48" s="160"/>
      <c r="D48" s="161"/>
      <c r="E48" s="40" t="s">
        <v>13</v>
      </c>
      <c r="F48" s="146"/>
      <c r="G48" s="146"/>
      <c r="H48" s="146"/>
      <c r="I48" s="146"/>
      <c r="J48" s="146"/>
      <c r="L48" s="169"/>
      <c r="M48" s="172"/>
      <c r="N48" s="181"/>
      <c r="O48" s="37"/>
      <c r="P48" s="38"/>
      <c r="Q48" s="38"/>
      <c r="R48" s="38"/>
    </row>
    <row r="49" spans="2:18" s="35" customFormat="1">
      <c r="B49" s="165"/>
      <c r="C49" s="158" t="s">
        <v>50</v>
      </c>
      <c r="D49" s="159"/>
      <c r="E49" s="39" t="s">
        <v>47</v>
      </c>
      <c r="F49" s="145">
        <v>10</v>
      </c>
      <c r="G49" s="145" t="s">
        <v>73</v>
      </c>
      <c r="H49" s="145" t="s">
        <v>73</v>
      </c>
      <c r="I49" s="145"/>
      <c r="J49" s="145" t="s">
        <v>73</v>
      </c>
      <c r="L49" s="169">
        <f>F49*IF(입력!$C$5="단순공종",투입인원수!$P$3,IF(입력!$C$5="보통공종",투입인원수!$P$4,IF(입력!$C$5="복잡공종",투입인원수!$P$5)))*IF(입력!$C$6="신축",투입인원수!$Q$3,IF(입력!$C$6="전면 리모델링(증축포함)",투입인원수!$Q$4,IF(입력!$C$6="순환 리모델링",투입인원수!$Q$5)))*IF(입력!C4&lt;=50,(0.011*(입력!$C$4*0.1)*(1-0.0025*(입력!$C$4*0.1))+(평균건설사업관리기간!$C$12+(0.5*(입력!$C$10/입력!$C$4))+0.2)*((입력!C4*0.1)*0.2)),IF(입력!C4&lt;=2000,(0.011*(입력!$C$4*0.1)*(1-0.0025*(입력!$C$4*0.1))+평균건설사업관리기간!$C$12+(0.5*(입력!$C$10/입력!$C$4))+0.2),((0.011*200*(1-0.0025*200)+평균건설사업관리기간!$C$12+(0.5*(입력!$C$10/입력!$C$4))+0.2)+((입력!$C$4*0.1)-200)/250)))*입력!C9</f>
        <v>106.59243243243245</v>
      </c>
      <c r="M49" s="171">
        <f>IF(입력!J49="O",IF(입력!$C$5="단순공종",1.1,IF(입력!$C$5="보통공종",1.15,IF(입력!$C$5="복잡공종",1.2))),0)*IF(입력!$C$20="O",1,0.8)</f>
        <v>1.1499999999999999</v>
      </c>
      <c r="N49" s="180">
        <f t="shared" ref="N49" si="11">L49*M49</f>
        <v>122.5812972972973</v>
      </c>
      <c r="O49" s="37"/>
      <c r="P49" s="38"/>
      <c r="Q49" s="38"/>
      <c r="R49" s="38"/>
    </row>
    <row r="50" spans="2:18" s="35" customFormat="1">
      <c r="B50" s="165"/>
      <c r="C50" s="160"/>
      <c r="D50" s="161"/>
      <c r="E50" s="40" t="s">
        <v>27</v>
      </c>
      <c r="F50" s="146"/>
      <c r="G50" s="146"/>
      <c r="H50" s="146"/>
      <c r="I50" s="146"/>
      <c r="J50" s="146"/>
      <c r="L50" s="169"/>
      <c r="M50" s="172"/>
      <c r="N50" s="181"/>
      <c r="O50" s="37"/>
      <c r="P50" s="38"/>
      <c r="Q50" s="38"/>
      <c r="R50" s="38"/>
    </row>
    <row r="51" spans="2:18" s="35" customFormat="1">
      <c r="B51" s="165"/>
      <c r="C51" s="158" t="s">
        <v>51</v>
      </c>
      <c r="D51" s="159"/>
      <c r="E51" s="39" t="s">
        <v>47</v>
      </c>
      <c r="F51" s="145">
        <v>12.6</v>
      </c>
      <c r="G51" s="145" t="s">
        <v>73</v>
      </c>
      <c r="H51" s="145"/>
      <c r="I51" s="145"/>
      <c r="J51" s="145" t="s">
        <v>73</v>
      </c>
      <c r="L51" s="169">
        <f>F51*IF(입력!$C$5="단순공종",투입인원수!$P$3,IF(입력!$C$5="보통공종",투입인원수!$P$4,IF(입력!$C$5="복잡공종",투입인원수!$P$5)))*IF(입력!C4&lt;=50,(0.011*(입력!$C$4*0.1)*(1-0.0025*(입력!$C$4*0.1))+(평균건설사업관리기간!$C$12+(0.5*(입력!$C$10/입력!$C$4))+0.2)*((입력!C4*0.1)*0.2)),IF(입력!C4&lt;=2000,(0.011*(입력!$C$4*0.1)*(1-0.0025*(입력!$C$4*0.1))+평균건설사업관리기간!$C$12+(0.5*(입력!$C$10/입력!$C$4))+0.2),((0.011*200*(1-0.0025*200)+평균건설사업관리기간!$C$12+(0.5*(입력!$C$10/입력!$C$4))+0.2)+((입력!$C$4*0.1)-200)/250)))*입력!C9</f>
        <v>134.30646486486486</v>
      </c>
      <c r="M51" s="171">
        <f>IF(입력!J51="O",IF(입력!$C$5="단순공종",1.1,IF(입력!$C$5="보통공종",1.15,IF(입력!$C$5="복잡공종",1.2))),0)*IF(입력!$C$20="O",1,0.8)</f>
        <v>1.1499999999999999</v>
      </c>
      <c r="N51" s="180">
        <f t="shared" ref="N51" si="12">L51*M51</f>
        <v>154.45243459459459</v>
      </c>
      <c r="O51" s="37"/>
      <c r="P51" s="38"/>
      <c r="Q51" s="38"/>
      <c r="R51" s="38"/>
    </row>
    <row r="52" spans="2:18" s="35" customFormat="1">
      <c r="B52" s="165"/>
      <c r="C52" s="160"/>
      <c r="D52" s="161"/>
      <c r="E52" s="40" t="s">
        <v>27</v>
      </c>
      <c r="F52" s="146"/>
      <c r="G52" s="146"/>
      <c r="H52" s="146"/>
      <c r="I52" s="146"/>
      <c r="J52" s="146"/>
      <c r="L52" s="169"/>
      <c r="M52" s="172"/>
      <c r="N52" s="181"/>
      <c r="O52" s="37"/>
      <c r="P52" s="38"/>
      <c r="Q52" s="38"/>
      <c r="R52" s="38"/>
    </row>
    <row r="53" spans="2:18" s="35" customFormat="1">
      <c r="B53" s="165"/>
      <c r="C53" s="158" t="s">
        <v>52</v>
      </c>
      <c r="D53" s="159"/>
      <c r="E53" s="39" t="s">
        <v>47</v>
      </c>
      <c r="F53" s="145">
        <v>8.8000000000000007</v>
      </c>
      <c r="G53" s="145" t="s">
        <v>73</v>
      </c>
      <c r="H53" s="145" t="s">
        <v>73</v>
      </c>
      <c r="I53" s="145" t="s">
        <v>73</v>
      </c>
      <c r="J53" s="145" t="s">
        <v>73</v>
      </c>
      <c r="L53" s="169">
        <f>F53*IF(입력!$C$5="단순공종",투입인원수!$P$3,IF(입력!$C$5="보통공종",투입인원수!$P$4,IF(입력!$C$5="복잡공종",투입인원수!$P$5)))*IF(입력!$C$6="신축",투입인원수!$Q$3,IF(입력!$C$6="전면 리모델링(증축포함)",투입인원수!$Q$4,IF(입력!$C$6="순환 리모델링",투입인원수!$Q$5)))*IF(입력!$C$7="미적용",투입인원수!$R$3,IF(입력!$C$7="적용",투입인원수!$R$4))*IF(입력!C4&lt;=50,(0.011*(입력!$C$4*0.1)*(1-0.0025*(입력!$C$4*0.1))+(평균건설사업관리기간!$C$12+(0.5*(입력!$C$10/입력!$C$4))+0.2)*((입력!C4*0.1)*0.2)),IF(입력!C4&lt;=2000,(0.011*(입력!$C$4*0.1)*(1-0.0025*(입력!$C$4*0.1))+평균건설사업관리기간!$C$12+(0.5*(입력!$C$10/입력!$C$4))+0.2),((0.011*200*(1-0.0025*200)+평균건설사업관리기간!$C$12+(0.5*(입력!$C$10/입력!$C$4))+0.2)+((입력!$C$4*0.1)-200)/250)))*입력!C9</f>
        <v>93.801340540540551</v>
      </c>
      <c r="M53" s="171">
        <f>IF(입력!J53="O",IF(입력!$C$5="단순공종",1.1,IF(입력!$C$5="보통공종",1.15,IF(입력!$C$5="복잡공종",1.2))),0)*IF(입력!$C$20="O",1,0.8)</f>
        <v>1.1499999999999999</v>
      </c>
      <c r="N53" s="180">
        <f t="shared" ref="N53" si="13">L53*M53</f>
        <v>107.87154162162163</v>
      </c>
      <c r="O53" s="37"/>
      <c r="P53" s="38"/>
      <c r="Q53" s="38"/>
      <c r="R53" s="38"/>
    </row>
    <row r="54" spans="2:18" s="35" customFormat="1">
      <c r="B54" s="165"/>
      <c r="C54" s="160"/>
      <c r="D54" s="161"/>
      <c r="E54" s="40" t="s">
        <v>27</v>
      </c>
      <c r="F54" s="146"/>
      <c r="G54" s="146"/>
      <c r="H54" s="146"/>
      <c r="I54" s="146"/>
      <c r="J54" s="146"/>
      <c r="L54" s="169"/>
      <c r="M54" s="172"/>
      <c r="N54" s="181"/>
      <c r="O54" s="37"/>
      <c r="P54" s="38"/>
      <c r="Q54" s="38"/>
      <c r="R54" s="38"/>
    </row>
    <row r="55" spans="2:18" s="35" customFormat="1">
      <c r="B55" s="165"/>
      <c r="C55" s="158" t="s">
        <v>53</v>
      </c>
      <c r="D55" s="159"/>
      <c r="E55" s="39" t="s">
        <v>47</v>
      </c>
      <c r="F55" s="145">
        <v>10.1</v>
      </c>
      <c r="G55" s="145" t="s">
        <v>73</v>
      </c>
      <c r="H55" s="145"/>
      <c r="I55" s="145"/>
      <c r="J55" s="145" t="s">
        <v>73</v>
      </c>
      <c r="L55" s="169">
        <f>F55*IF(입력!$C$5="단순공종",투입인원수!$P$3,IF(입력!$C$5="보통공종",투입인원수!$P$4,IF(입력!$C$5="복잡공종",투입인원수!$P$5)))*IF(입력!C4&lt;=50,(0.011*(입력!$C$4*0.1)*(1-0.0025*(입력!$C$4*0.1))+(평균건설사업관리기간!$C$12+(0.5*(입력!$C$10/입력!$C$4))+0.2)*((입력!C4*0.1)*0.2)),IF(입력!C4&lt;=2000,(0.011*(입력!$C$4*0.1)*(1-0.0025*(입력!$C$4*0.1))+평균건설사업관리기간!$C$12+(0.5*(입력!$C$10/입력!$C$4))+0.2),((0.011*200*(1-0.0025*200)+평균건설사업관리기간!$C$12+(0.5*(입력!$C$10/입력!$C$4))+0.2)+((입력!$C$4*0.1)-200)/250)))*입력!C9</f>
        <v>107.65835675675675</v>
      </c>
      <c r="M55" s="171">
        <f>IF(입력!J55="O",IF(입력!$C$5="단순공종",1.1,IF(입력!$C$5="보통공종",1.15,IF(입력!$C$5="복잡공종",1.2))),0)*IF(입력!$C$20="O",1,0.8)</f>
        <v>1.1499999999999999</v>
      </c>
      <c r="N55" s="180">
        <f t="shared" ref="N55" si="14">L55*M55</f>
        <v>123.80711027027024</v>
      </c>
      <c r="O55" s="37"/>
      <c r="P55" s="38"/>
      <c r="Q55" s="38"/>
      <c r="R55" s="38"/>
    </row>
    <row r="56" spans="2:18" s="35" customFormat="1">
      <c r="B56" s="165"/>
      <c r="C56" s="160"/>
      <c r="D56" s="161"/>
      <c r="E56" s="40" t="s">
        <v>27</v>
      </c>
      <c r="F56" s="146"/>
      <c r="G56" s="146"/>
      <c r="H56" s="146"/>
      <c r="I56" s="146"/>
      <c r="J56" s="146"/>
      <c r="L56" s="169"/>
      <c r="M56" s="172"/>
      <c r="N56" s="181"/>
      <c r="O56" s="37"/>
      <c r="P56" s="38"/>
      <c r="Q56" s="38"/>
      <c r="R56" s="38"/>
    </row>
    <row r="57" spans="2:18" s="35" customFormat="1">
      <c r="B57" s="165"/>
      <c r="C57" s="158" t="s">
        <v>54</v>
      </c>
      <c r="D57" s="159"/>
      <c r="E57" s="39" t="s">
        <v>47</v>
      </c>
      <c r="F57" s="145">
        <v>9</v>
      </c>
      <c r="G57" s="145" t="s">
        <v>73</v>
      </c>
      <c r="H57" s="145" t="s">
        <v>73</v>
      </c>
      <c r="I57" s="145"/>
      <c r="J57" s="145" t="s">
        <v>73</v>
      </c>
      <c r="L57" s="169">
        <f>F57*IF(입력!$C$5="단순공종",투입인원수!$P$3,IF(입력!$C$5="보통공종",투입인원수!$P$4,IF(입력!$C$5="복잡공종",투입인원수!$P$5)))*IF(입력!$C$6="신축",투입인원수!$Q$3,IF(입력!$C$6="전면 리모델링(증축포함)",투입인원수!$Q$4,IF(입력!$C$6="순환 리모델링",투입인원수!$Q$5)))*IF(입력!C4&lt;=50,(0.011*(입력!$C$4*0.1)*(1-0.0025*(입력!$C$4*0.1))+(평균건설사업관리기간!$C$12+(0.5*(입력!$C$10/입력!$C$4))+0.2)*((입력!C4*0.1)*0.2)),IF(입력!C4&lt;=2000,(0.011*(입력!$C$4*0.1)*(1-0.0025*(입력!$C$4*0.1))+평균건설사업관리기간!$C$12+(0.5*(입력!$C$10/입력!$C$4))+0.2),((0.011*200*(1-0.0025*200)+평균건설사업관리기간!$C$12+(0.5*(입력!$C$10/입력!$C$4))+0.2)+((입력!$C$4*0.1)-200)/250)))*입력!C9</f>
        <v>95.933189189189193</v>
      </c>
      <c r="M57" s="171">
        <f>IF(입력!J57="O",IF(입력!$C$5="단순공종",1.1,IF(입력!$C$5="보통공종",1.15,IF(입력!$C$5="복잡공종",1.2))),0)*IF(입력!$C$20="O",1,0.8)</f>
        <v>1.1499999999999999</v>
      </c>
      <c r="N57" s="180">
        <f t="shared" ref="N57" si="15">L57*M57</f>
        <v>110.32316756756757</v>
      </c>
      <c r="O57" s="37"/>
      <c r="P57" s="38"/>
      <c r="Q57" s="38"/>
      <c r="R57" s="38"/>
    </row>
    <row r="58" spans="2:18" s="35" customFormat="1">
      <c r="B58" s="165"/>
      <c r="C58" s="160"/>
      <c r="D58" s="161"/>
      <c r="E58" s="40" t="s">
        <v>27</v>
      </c>
      <c r="F58" s="146"/>
      <c r="G58" s="146"/>
      <c r="H58" s="146"/>
      <c r="I58" s="146"/>
      <c r="J58" s="146"/>
      <c r="L58" s="169"/>
      <c r="M58" s="172"/>
      <c r="N58" s="181"/>
      <c r="O58" s="37"/>
      <c r="P58" s="38"/>
      <c r="Q58" s="38"/>
      <c r="R58" s="38"/>
    </row>
    <row r="59" spans="2:18" s="35" customFormat="1">
      <c r="B59" s="165"/>
      <c r="C59" s="158" t="s">
        <v>55</v>
      </c>
      <c r="D59" s="159"/>
      <c r="E59" s="39" t="s">
        <v>47</v>
      </c>
      <c r="F59" s="145">
        <v>22</v>
      </c>
      <c r="G59" s="145"/>
      <c r="H59" s="145" t="s">
        <v>73</v>
      </c>
      <c r="I59" s="145"/>
      <c r="J59" s="145" t="s">
        <v>73</v>
      </c>
      <c r="L59" s="169">
        <f>F59*IF(입력!$C$6="신축",투입인원수!$Q$3,IF(입력!$C$6="전면 리모델링(증축포함)",투입인원수!$Q$4,IF(입력!$C$6="순환 리모델링",투입인원수!$Q$5)))*IF(입력!C4&lt;=50,(0.011*(입력!$C$4*0.1)*(1-0.0025*(입력!$C$4*0.1))+(평균건설사업관리기간!$C$12+(0.5*(입력!$C$10/입력!$C$4))+0.2)*((입력!C4*0.1)*0.2)),IF(입력!C4&lt;=2000,(0.011*(입력!$C$4*0.1)*(1-0.0025*(입력!$C$4*0.1))+평균건설사업관리기간!$C$12+(0.5*(입력!$C$10/입력!$C$4))+0.2),((0.011*200*(1-0.0025*200)+평균건설사업관리기간!$C$12+(0.5*(입력!$C$10/입력!$C$4))+0.2)+((입력!$C$4*0.1)-200)/250)))*입력!C9</f>
        <v>234.50335135135137</v>
      </c>
      <c r="M59" s="171">
        <f>IF(입력!J59="O",IF(입력!$C$5="단순공종",1.1,IF(입력!$C$5="보통공종",1.15,IF(입력!$C$5="복잡공종",1.2))),0)*IF(입력!$C$20="O",1,0.8)</f>
        <v>1.1499999999999999</v>
      </c>
      <c r="N59" s="180">
        <f t="shared" ref="N59" si="16">L59*M59</f>
        <v>269.67885405405406</v>
      </c>
      <c r="O59" s="37"/>
      <c r="P59" s="38"/>
      <c r="Q59" s="38"/>
      <c r="R59" s="38"/>
    </row>
    <row r="60" spans="2:18" s="35" customFormat="1">
      <c r="B60" s="165"/>
      <c r="C60" s="160"/>
      <c r="D60" s="161"/>
      <c r="E60" s="40" t="s">
        <v>27</v>
      </c>
      <c r="F60" s="146"/>
      <c r="G60" s="146"/>
      <c r="H60" s="146"/>
      <c r="I60" s="146"/>
      <c r="J60" s="146"/>
      <c r="L60" s="169"/>
      <c r="M60" s="172"/>
      <c r="N60" s="181"/>
      <c r="O60" s="37"/>
      <c r="P60" s="38"/>
      <c r="Q60" s="38"/>
      <c r="R60" s="38"/>
    </row>
    <row r="61" spans="2:18" s="35" customFormat="1">
      <c r="B61" s="165"/>
      <c r="C61" s="158" t="s">
        <v>56</v>
      </c>
      <c r="D61" s="159"/>
      <c r="E61" s="39" t="s">
        <v>47</v>
      </c>
      <c r="F61" s="145">
        <v>5.3</v>
      </c>
      <c r="G61" s="145"/>
      <c r="H61" s="145" t="s">
        <v>73</v>
      </c>
      <c r="I61" s="145"/>
      <c r="J61" s="145" t="s">
        <v>73</v>
      </c>
      <c r="L61" s="169">
        <f>F61*IF(입력!$C$6="신축",투입인원수!$Q$3,IF(입력!$C$6="전면 리모델링(증축포함)",투입인원수!$Q$4,IF(입력!$C$6="순환 리모델링",투입인원수!$Q$5)))*IF(입력!C4&lt;=50,(0.011*(입력!$C$4*0.1)*(1-0.0025*(입력!$C$4*0.1))+(평균건설사업관리기간!$C$12+(0.5*(입력!$C$10/입력!$C$4))+0.2)*((입력!C4*0.1)*0.2)),IF(입력!C4&lt;=2000,(0.011*(입력!$C$4*0.1)*(1-0.0025*(입력!$C$4*0.1))+평균건설사업관리기간!$C$12+(0.5*(입력!$C$10/입력!$C$4))+0.2),((0.011*200*(1-0.0025*200)+평균건설사업관리기간!$C$12+(0.5*(입력!$C$10/입력!$C$4))+0.2)+((입력!$C$4*0.1)-200)/250)))*입력!C9</f>
        <v>56.493989189189179</v>
      </c>
      <c r="M61" s="171">
        <f>IF(입력!J61="O",IF(입력!$C$5="단순공종",1.1,IF(입력!$C$5="보통공종",1.15,IF(입력!$C$5="복잡공종",1.2))),0)*IF(입력!$C$20="O",1,0.8)</f>
        <v>1.1499999999999999</v>
      </c>
      <c r="N61" s="180">
        <f t="shared" ref="N61" si="17">L61*M61</f>
        <v>64.968087567567551</v>
      </c>
      <c r="O61" s="37"/>
      <c r="P61" s="38"/>
      <c r="Q61" s="38"/>
      <c r="R61" s="38"/>
    </row>
    <row r="62" spans="2:18" s="35" customFormat="1">
      <c r="B62" s="165"/>
      <c r="C62" s="160"/>
      <c r="D62" s="161"/>
      <c r="E62" s="40" t="s">
        <v>27</v>
      </c>
      <c r="F62" s="146"/>
      <c r="G62" s="146"/>
      <c r="H62" s="146"/>
      <c r="I62" s="146"/>
      <c r="J62" s="146"/>
      <c r="L62" s="169"/>
      <c r="M62" s="172"/>
      <c r="N62" s="181"/>
      <c r="O62" s="37"/>
      <c r="P62" s="38"/>
      <c r="Q62" s="38"/>
      <c r="R62" s="38"/>
    </row>
    <row r="63" spans="2:18" s="35" customFormat="1">
      <c r="B63" s="165"/>
      <c r="C63" s="158" t="s">
        <v>57</v>
      </c>
      <c r="D63" s="159"/>
      <c r="E63" s="39" t="s">
        <v>47</v>
      </c>
      <c r="F63" s="145">
        <v>7.5</v>
      </c>
      <c r="G63" s="145"/>
      <c r="H63" s="145"/>
      <c r="I63" s="145" t="s">
        <v>73</v>
      </c>
      <c r="J63" s="145" t="s">
        <v>73</v>
      </c>
      <c r="L63" s="169">
        <f>F63*IF(입력!$C$7="미적용",투입인원수!$R$3,IF(입력!$C$7="적용",투입인원수!$R$4))*IF(입력!C4&lt;=50,(0.011*(입력!$C$4*0.1)*(1-0.0025*(입력!$C$4*0.1))+(평균건설사업관리기간!$C$12+(0.5*(입력!$C$10/입력!$C$4))+0.2)*((입력!C4*0.1)*0.2)),IF(입력!C4&lt;=2000,(0.011*(입력!$C$4*0.1)*(1-0.0025*(입력!$C$4*0.1))+평균건설사업관리기간!$C$12+(0.5*(입력!$C$10/입력!$C$4))+0.2),((0.011*200*(1-0.0025*200)+평균건설사업관리기간!$C$12+(0.5*(입력!$C$10/입력!$C$4))+0.2)+((입력!$C$4*0.1)-200)/250)))*입력!C9</f>
        <v>79.944324324324327</v>
      </c>
      <c r="M63" s="171">
        <f>IF(입력!J63="O",IF(입력!$C$5="단순공종",1.1,IF(입력!$C$5="보통공종",1.15,IF(입력!$C$5="복잡공종",1.2))),0)*IF(입력!$C$20="O",1,0.8)</f>
        <v>1.1499999999999999</v>
      </c>
      <c r="N63" s="180">
        <f t="shared" ref="N63" si="18">L63*M63</f>
        <v>91.935972972972976</v>
      </c>
      <c r="O63" s="37"/>
      <c r="P63" s="38"/>
      <c r="Q63" s="38"/>
      <c r="R63" s="38"/>
    </row>
    <row r="64" spans="2:18" s="35" customFormat="1">
      <c r="B64" s="165"/>
      <c r="C64" s="160"/>
      <c r="D64" s="161"/>
      <c r="E64" s="40" t="s">
        <v>27</v>
      </c>
      <c r="F64" s="146"/>
      <c r="G64" s="146"/>
      <c r="H64" s="146"/>
      <c r="I64" s="146"/>
      <c r="J64" s="146"/>
      <c r="L64" s="169"/>
      <c r="M64" s="172"/>
      <c r="N64" s="181"/>
      <c r="O64" s="37"/>
      <c r="P64" s="38"/>
      <c r="Q64" s="38"/>
      <c r="R64" s="38"/>
    </row>
    <row r="65" spans="2:18" s="35" customFormat="1">
      <c r="B65" s="165"/>
      <c r="C65" s="162" t="s">
        <v>58</v>
      </c>
      <c r="D65" s="163"/>
      <c r="E65" s="34" t="s">
        <v>32</v>
      </c>
      <c r="F65" s="34">
        <v>6.6</v>
      </c>
      <c r="G65" s="34"/>
      <c r="H65" s="34"/>
      <c r="I65" s="34"/>
      <c r="J65" s="34"/>
      <c r="L65" s="44">
        <f>F65</f>
        <v>6.6</v>
      </c>
      <c r="M65" s="46">
        <f>IF(입력!J65="O",IF(입력!$C$5="단순공종",1.1,IF(입력!$C$5="보통공종",1.15,IF(입력!$C$5="복잡공종",1.2))),0)*IF(입력!$C$20="O",1,0.8)</f>
        <v>1.1499999999999999</v>
      </c>
      <c r="N65" s="36">
        <f t="shared" ref="N65:N67" si="19">L65*M65</f>
        <v>7.589999999999999</v>
      </c>
      <c r="O65" s="37"/>
      <c r="P65" s="38"/>
      <c r="Q65" s="38"/>
      <c r="R65" s="38"/>
    </row>
    <row r="66" spans="2:18" s="35" customFormat="1">
      <c r="B66" s="165"/>
      <c r="C66" s="162" t="s">
        <v>59</v>
      </c>
      <c r="D66" s="163"/>
      <c r="E66" s="34" t="s">
        <v>8</v>
      </c>
      <c r="F66" s="34">
        <v>3.8</v>
      </c>
      <c r="G66" s="34"/>
      <c r="H66" s="34"/>
      <c r="I66" s="34"/>
      <c r="J66" s="34"/>
      <c r="L66" s="44">
        <f>F66</f>
        <v>3.8</v>
      </c>
      <c r="M66" s="46">
        <f>IF(입력!J66="O",IF(입력!$C$5="단순공종",1.1,IF(입력!$C$5="보통공종",1.15,IF(입력!$C$5="복잡공종",1.2))),0)*IF(입력!$C$20="O",1,0.8)</f>
        <v>1.1499999999999999</v>
      </c>
      <c r="N66" s="36">
        <f t="shared" si="19"/>
        <v>4.3699999999999992</v>
      </c>
      <c r="O66" s="37"/>
      <c r="P66" s="38"/>
      <c r="Q66" s="38"/>
      <c r="R66" s="38"/>
    </row>
    <row r="67" spans="2:18" s="35" customFormat="1">
      <c r="B67" s="165"/>
      <c r="C67" s="158" t="s">
        <v>60</v>
      </c>
      <c r="D67" s="159"/>
      <c r="E67" s="39" t="s">
        <v>47</v>
      </c>
      <c r="F67" s="145">
        <v>2.8</v>
      </c>
      <c r="G67" s="145" t="s">
        <v>73</v>
      </c>
      <c r="H67" s="145"/>
      <c r="I67" s="145"/>
      <c r="J67" s="145"/>
      <c r="L67" s="169">
        <f>F67*IF(입력!$C$5="단순공종",투입인원수!$P$3,IF(입력!$C$5="보통공종",투입인원수!$P$4,IF(입력!$C$5="복잡공종",투입인원수!$P$5)))*입력!C9</f>
        <v>67.199999999999989</v>
      </c>
      <c r="M67" s="171">
        <f>IF(입력!J67="O",IF(입력!$C$5="단순공종",1.1,IF(입력!$C$5="보통공종",1.15,IF(입력!$C$5="복잡공종",1.2))),0)*IF(입력!$C$20="O",1,0.8)</f>
        <v>1.1499999999999999</v>
      </c>
      <c r="N67" s="180">
        <f t="shared" si="19"/>
        <v>77.279999999999987</v>
      </c>
      <c r="O67" s="37"/>
      <c r="P67" s="38"/>
      <c r="Q67" s="38"/>
      <c r="R67" s="38"/>
    </row>
    <row r="68" spans="2:18" s="35" customFormat="1">
      <c r="B68" s="165"/>
      <c r="C68" s="160"/>
      <c r="D68" s="161"/>
      <c r="E68" s="40" t="s">
        <v>27</v>
      </c>
      <c r="F68" s="146"/>
      <c r="G68" s="146"/>
      <c r="H68" s="146"/>
      <c r="I68" s="146"/>
      <c r="J68" s="146"/>
      <c r="L68" s="169"/>
      <c r="M68" s="172"/>
      <c r="N68" s="181"/>
      <c r="O68" s="37"/>
      <c r="P68" s="38"/>
      <c r="Q68" s="38"/>
      <c r="R68" s="38"/>
    </row>
    <row r="69" spans="2:18" s="35" customFormat="1">
      <c r="B69" s="165"/>
      <c r="C69" s="158" t="s">
        <v>130</v>
      </c>
      <c r="D69" s="159"/>
      <c r="E69" s="39" t="s">
        <v>47</v>
      </c>
      <c r="F69" s="145">
        <v>23</v>
      </c>
      <c r="G69" s="145"/>
      <c r="H69" s="145"/>
      <c r="I69" s="145"/>
      <c r="J69" s="145" t="s">
        <v>73</v>
      </c>
      <c r="L69" s="169">
        <f>F69*IF(입력!C4&lt;=50,(0.011*(입력!$C$4*0.1)*(1-0.0025*(입력!$C$4*0.1))+(평균건설사업관리기간!$C$12+(0.5*(입력!$C$10/입력!$C$4))+0.2)*((입력!C4*0.1)*0.2)),IF(입력!C4&lt;=2000,(0.011*(입력!$C$4*0.1)*(1-0.0025*(입력!$C$4*0.1))+평균건설사업관리기간!$C$12+(0.5*(입력!$C$10/입력!$C$4))+0.2),((0.011*200*(1-0.0025*200)+평균건설사업관리기간!$C$12+(0.5*(입력!$C$10/입력!$C$4))+0.2)+((입력!$C$4*0.1)-200)/250)))*입력!C9/12</f>
        <v>20.430216216216216</v>
      </c>
      <c r="M69" s="171">
        <f>IF(입력!J69="O",IF(입력!$C$5="단순공종",1.1,IF(입력!$C$5="보통공종",1.15,IF(입력!$C$5="복잡공종",1.2))),0)*IF(입력!$C$20="O",1,0.8)</f>
        <v>1.1499999999999999</v>
      </c>
      <c r="N69" s="180">
        <f t="shared" ref="N69" si="20">L69*M69</f>
        <v>23.494748648648645</v>
      </c>
      <c r="O69" s="37"/>
      <c r="P69" s="38"/>
      <c r="Q69" s="38"/>
      <c r="R69" s="38"/>
    </row>
    <row r="70" spans="2:18" s="35" customFormat="1">
      <c r="B70" s="165"/>
      <c r="C70" s="160"/>
      <c r="D70" s="161"/>
      <c r="E70" s="40" t="s">
        <v>61</v>
      </c>
      <c r="F70" s="146"/>
      <c r="G70" s="146"/>
      <c r="H70" s="146"/>
      <c r="I70" s="146"/>
      <c r="J70" s="146"/>
      <c r="L70" s="169"/>
      <c r="M70" s="172"/>
      <c r="N70" s="181"/>
      <c r="O70" s="37"/>
      <c r="P70" s="38"/>
      <c r="Q70" s="38"/>
      <c r="R70" s="38"/>
    </row>
    <row r="71" spans="2:18" s="35" customFormat="1" ht="22.5" customHeight="1">
      <c r="B71" s="165"/>
      <c r="C71" s="162" t="s">
        <v>62</v>
      </c>
      <c r="D71" s="163"/>
      <c r="E71" s="34" t="s">
        <v>32</v>
      </c>
      <c r="F71" s="34">
        <v>36.4</v>
      </c>
      <c r="G71" s="34"/>
      <c r="H71" s="34"/>
      <c r="I71" s="34"/>
      <c r="J71" s="34" t="s">
        <v>73</v>
      </c>
      <c r="L71" s="44">
        <f>F71*IF(입력!C4&lt;=50,(0.011*(입력!$C$4*0.1)*(1-0.0025*(입력!$C$4*0.1))+(평균건설사업관리기간!$C$12+(0.5*(입력!$C$10/입력!$C$4))+0.2)*((입력!C4*0.1)*0.2)),IF(입력!C4&lt;=2000,(0.011*(입력!$C$4*0.1)*(1-0.0025*(입력!$C$4*0.1))+평균건설사업관리기간!$C$12+(0.5*(입력!$C$10/입력!$C$4))+0.2),((0.011*200*(1-0.0025*200)+평균건설사업관리기간!$C$12+(0.5*(입력!$C$10/입력!$C$4))+0.2)+((입력!$C$4*0.1)-200)/250)))</f>
        <v>16.166518918918918</v>
      </c>
      <c r="M71" s="46">
        <f>IF(입력!J71="O",IF(입력!$C$5="단순공종",1.1,IF(입력!$C$5="보통공종",1.15,IF(입력!$C$5="복잡공종",1.2))),0)*IF(입력!$C$20="O",1,0.8)</f>
        <v>1.1499999999999999</v>
      </c>
      <c r="N71" s="36">
        <f>L71*M71</f>
        <v>18.591496756756754</v>
      </c>
      <c r="O71" s="37"/>
      <c r="P71" s="38"/>
      <c r="Q71" s="38"/>
      <c r="R71" s="38"/>
    </row>
    <row r="72" spans="2:18" s="35" customFormat="1">
      <c r="B72" s="165"/>
      <c r="C72" s="158" t="s">
        <v>63</v>
      </c>
      <c r="D72" s="159"/>
      <c r="E72" s="39" t="s">
        <v>26</v>
      </c>
      <c r="F72" s="145">
        <v>1.6</v>
      </c>
      <c r="G72" s="145"/>
      <c r="H72" s="145"/>
      <c r="I72" s="145"/>
      <c r="J72" s="145" t="s">
        <v>73</v>
      </c>
      <c r="L72" s="169">
        <f>F72*IF(입력!C4&lt;=50,(0.011*(입력!$C$4*0.1)*(1-0.0025*(입력!$C$4*0.1))+(평균건설사업관리기간!$C$12+(0.5*(입력!$C$10/입력!$C$4))+0.2)*((입력!C4*0.1)*0.2)),IF(입력!C4&lt;=2000,(0.011*(입력!$C$4*0.1)*(1-0.0025*(입력!$C$4*0.1))+평균건설사업관리기간!$C$12+(0.5*(입력!$C$10/입력!$C$4))+0.2),((0.011*200*(1-0.0025*200)+평균건설사업관리기간!$C$12+(0.5*(입력!$C$10/입력!$C$4))+0.2)+((입력!$C$4*0.1)-200)/250)))*입력!C9*22</f>
        <v>375.2053621621622</v>
      </c>
      <c r="M72" s="171">
        <f>IF(입력!J72="O",IF(입력!$C$5="단순공종",1.1,IF(입력!$C$5="보통공종",1.15,IF(입력!$C$5="복잡공종",1.2))),0)*IF(입력!$C$20="O",1,0.8)</f>
        <v>1.1499999999999999</v>
      </c>
      <c r="N72" s="180">
        <f>L72*M72</f>
        <v>431.48616648648652</v>
      </c>
      <c r="O72" s="37"/>
      <c r="P72" s="38"/>
      <c r="Q72" s="38"/>
      <c r="R72" s="38"/>
    </row>
    <row r="73" spans="2:18" s="35" customFormat="1">
      <c r="B73" s="166"/>
      <c r="C73" s="160"/>
      <c r="D73" s="161"/>
      <c r="E73" s="40" t="s">
        <v>13</v>
      </c>
      <c r="F73" s="146"/>
      <c r="G73" s="146"/>
      <c r="H73" s="146"/>
      <c r="I73" s="146"/>
      <c r="J73" s="146"/>
      <c r="L73" s="169"/>
      <c r="M73" s="172"/>
      <c r="N73" s="181"/>
      <c r="O73" s="37"/>
      <c r="P73" s="38"/>
      <c r="Q73" s="38"/>
      <c r="R73" s="38"/>
    </row>
    <row r="74" spans="2:18" ht="22.5" customHeight="1">
      <c r="B74" s="124" t="s">
        <v>76</v>
      </c>
      <c r="C74" s="149" t="s">
        <v>64</v>
      </c>
      <c r="D74" s="150"/>
      <c r="E74" s="1" t="s">
        <v>8</v>
      </c>
      <c r="F74" s="1">
        <v>13.6</v>
      </c>
      <c r="G74" s="1" t="s">
        <v>73</v>
      </c>
      <c r="H74" s="1"/>
      <c r="I74" s="1"/>
      <c r="J74" s="1"/>
      <c r="L74" s="43">
        <f>F74*IF(입력!$C$5="단순공종",투입인원수!$P$3,IF(입력!$C$5="보통공종",투입인원수!$P$4,IF(입력!$C$5="복잡공종",투입인원수!$P$5)))</f>
        <v>13.6</v>
      </c>
      <c r="M74" s="45">
        <f>IF(입력!J74="O",1,0)</f>
        <v>1</v>
      </c>
      <c r="N74" s="24">
        <f t="shared" ref="N74:N77" si="21">L74*M74</f>
        <v>13.6</v>
      </c>
      <c r="O74" s="21"/>
      <c r="P74" s="26"/>
      <c r="Q74" s="26"/>
      <c r="R74" s="26"/>
    </row>
    <row r="75" spans="2:18" ht="22.5" customHeight="1">
      <c r="B75" s="125"/>
      <c r="C75" s="149" t="s">
        <v>65</v>
      </c>
      <c r="D75" s="150"/>
      <c r="E75" s="1" t="s">
        <v>8</v>
      </c>
      <c r="F75" s="1">
        <v>32.6</v>
      </c>
      <c r="G75" s="1"/>
      <c r="H75" s="1"/>
      <c r="I75" s="1"/>
      <c r="J75" s="1"/>
      <c r="L75" s="43">
        <f>F75</f>
        <v>32.6</v>
      </c>
      <c r="M75" s="45">
        <f>IF(입력!J75="O",1,0)</f>
        <v>1</v>
      </c>
      <c r="N75" s="24">
        <f t="shared" si="21"/>
        <v>32.6</v>
      </c>
      <c r="O75" s="21"/>
      <c r="P75" s="26"/>
      <c r="Q75" s="26"/>
      <c r="R75" s="26"/>
    </row>
    <row r="76" spans="2:18" ht="22.5" customHeight="1">
      <c r="B76" s="125"/>
      <c r="C76" s="149" t="s">
        <v>66</v>
      </c>
      <c r="D76" s="150"/>
      <c r="E76" s="1" t="s">
        <v>8</v>
      </c>
      <c r="F76" s="1">
        <v>20.8</v>
      </c>
      <c r="G76" s="1"/>
      <c r="H76" s="1"/>
      <c r="I76" s="1"/>
      <c r="J76" s="1"/>
      <c r="L76" s="43">
        <f>F76</f>
        <v>20.8</v>
      </c>
      <c r="M76" s="45">
        <f>IF(입력!J76="O",1,0)</f>
        <v>1</v>
      </c>
      <c r="N76" s="24">
        <f t="shared" si="21"/>
        <v>20.8</v>
      </c>
      <c r="O76" s="21"/>
      <c r="P76" s="26"/>
      <c r="Q76" s="26"/>
      <c r="R76" s="26"/>
    </row>
    <row r="77" spans="2:18" ht="33.75" customHeight="1">
      <c r="B77" s="126"/>
      <c r="C77" s="149" t="s">
        <v>67</v>
      </c>
      <c r="D77" s="150"/>
      <c r="E77" s="1" t="s">
        <v>8</v>
      </c>
      <c r="F77" s="1">
        <v>27.2</v>
      </c>
      <c r="G77" s="1"/>
      <c r="H77" s="1"/>
      <c r="I77" s="1"/>
      <c r="J77" s="1"/>
      <c r="L77" s="43">
        <f>F77</f>
        <v>27.2</v>
      </c>
      <c r="M77" s="45">
        <f>IF(입력!J77="O",1,0)</f>
        <v>1</v>
      </c>
      <c r="N77" s="24">
        <f t="shared" si="21"/>
        <v>27.2</v>
      </c>
      <c r="O77" s="21"/>
      <c r="P77" s="26"/>
      <c r="Q77" s="26"/>
      <c r="R77" s="26"/>
    </row>
    <row r="78" spans="2:18" ht="36.75" customHeight="1">
      <c r="L78" s="176" t="s">
        <v>107</v>
      </c>
      <c r="M78" s="177"/>
      <c r="N78" s="79">
        <f>SUM(N5:N77)</f>
        <v>3383.1018563513512</v>
      </c>
      <c r="O78" s="21"/>
      <c r="P78" s="26"/>
      <c r="Q78" s="26"/>
      <c r="R78" s="26"/>
    </row>
  </sheetData>
  <mergeCells count="216">
    <mergeCell ref="L78:M78"/>
    <mergeCell ref="M69:M70"/>
    <mergeCell ref="M72:M73"/>
    <mergeCell ref="N9:N10"/>
    <mergeCell ref="N21:N22"/>
    <mergeCell ref="N25:N26"/>
    <mergeCell ref="N31:N32"/>
    <mergeCell ref="N35:N36"/>
    <mergeCell ref="N44:N45"/>
    <mergeCell ref="N47:N48"/>
    <mergeCell ref="N49:N50"/>
    <mergeCell ref="N51:N52"/>
    <mergeCell ref="N53:N54"/>
    <mergeCell ref="N55:N56"/>
    <mergeCell ref="N57:N58"/>
    <mergeCell ref="N59:N60"/>
    <mergeCell ref="N61:N62"/>
    <mergeCell ref="N63:N64"/>
    <mergeCell ref="N67:N68"/>
    <mergeCell ref="N69:N70"/>
    <mergeCell ref="N72:N73"/>
    <mergeCell ref="M49:M50"/>
    <mergeCell ref="M51:M52"/>
    <mergeCell ref="M53:M54"/>
    <mergeCell ref="M55:M56"/>
    <mergeCell ref="M57:M58"/>
    <mergeCell ref="M59:M60"/>
    <mergeCell ref="M61:M62"/>
    <mergeCell ref="M63:M64"/>
    <mergeCell ref="M67:M68"/>
    <mergeCell ref="M2:M4"/>
    <mergeCell ref="N2:N4"/>
    <mergeCell ref="M9:M10"/>
    <mergeCell ref="M21:M22"/>
    <mergeCell ref="M25:M26"/>
    <mergeCell ref="M31:M32"/>
    <mergeCell ref="M35:M36"/>
    <mergeCell ref="M44:M45"/>
    <mergeCell ref="M47:M48"/>
    <mergeCell ref="L59:L60"/>
    <mergeCell ref="L61:L62"/>
    <mergeCell ref="L63:L64"/>
    <mergeCell ref="L67:L68"/>
    <mergeCell ref="L69:L70"/>
    <mergeCell ref="L72:L73"/>
    <mergeCell ref="B14:B19"/>
    <mergeCell ref="B74:B77"/>
    <mergeCell ref="E2:E3"/>
    <mergeCell ref="L47:L48"/>
    <mergeCell ref="L49:L50"/>
    <mergeCell ref="L2:L4"/>
    <mergeCell ref="L51:L52"/>
    <mergeCell ref="L53:L54"/>
    <mergeCell ref="L55:L56"/>
    <mergeCell ref="L57:L58"/>
    <mergeCell ref="L21:L22"/>
    <mergeCell ref="L25:L26"/>
    <mergeCell ref="L31:L32"/>
    <mergeCell ref="L35:L36"/>
    <mergeCell ref="L44:L45"/>
    <mergeCell ref="B2:D3"/>
    <mergeCell ref="F2:F3"/>
    <mergeCell ref="C4:D4"/>
    <mergeCell ref="B5:B13"/>
    <mergeCell ref="C5:D5"/>
    <mergeCell ref="C6:D6"/>
    <mergeCell ref="C7:D7"/>
    <mergeCell ref="C8:D8"/>
    <mergeCell ref="C9:D10"/>
    <mergeCell ref="F9:F10"/>
    <mergeCell ref="B20:B29"/>
    <mergeCell ref="C20:D20"/>
    <mergeCell ref="C21:D22"/>
    <mergeCell ref="C28:D28"/>
    <mergeCell ref="C29:D29"/>
    <mergeCell ref="C11:D11"/>
    <mergeCell ref="C12:C13"/>
    <mergeCell ref="E12:E13"/>
    <mergeCell ref="C14:D14"/>
    <mergeCell ref="C15:D15"/>
    <mergeCell ref="C16:D16"/>
    <mergeCell ref="B42:B45"/>
    <mergeCell ref="C42:D42"/>
    <mergeCell ref="C43:D43"/>
    <mergeCell ref="C44:D45"/>
    <mergeCell ref="B30:B41"/>
    <mergeCell ref="C30:D30"/>
    <mergeCell ref="C31:D32"/>
    <mergeCell ref="F31:F32"/>
    <mergeCell ref="C33:D33"/>
    <mergeCell ref="C34:D34"/>
    <mergeCell ref="C35:D36"/>
    <mergeCell ref="F35:F36"/>
    <mergeCell ref="C37:D37"/>
    <mergeCell ref="C38:D38"/>
    <mergeCell ref="B46:B73"/>
    <mergeCell ref="C46:D46"/>
    <mergeCell ref="C47:D48"/>
    <mergeCell ref="F47:F48"/>
    <mergeCell ref="C49:D50"/>
    <mergeCell ref="F49:F50"/>
    <mergeCell ref="C51:D52"/>
    <mergeCell ref="F51:F52"/>
    <mergeCell ref="C53:D54"/>
    <mergeCell ref="C77:D77"/>
    <mergeCell ref="G2:I3"/>
    <mergeCell ref="J2:J4"/>
    <mergeCell ref="G9:G10"/>
    <mergeCell ref="H9:H10"/>
    <mergeCell ref="C67:D68"/>
    <mergeCell ref="F67:F68"/>
    <mergeCell ref="C69:D70"/>
    <mergeCell ref="F69:F70"/>
    <mergeCell ref="C71:D71"/>
    <mergeCell ref="C72:D73"/>
    <mergeCell ref="F72:F73"/>
    <mergeCell ref="C61:D62"/>
    <mergeCell ref="F61:F62"/>
    <mergeCell ref="C63:D64"/>
    <mergeCell ref="F63:F64"/>
    <mergeCell ref="C65:D65"/>
    <mergeCell ref="C66:D66"/>
    <mergeCell ref="F53:F54"/>
    <mergeCell ref="C55:D56"/>
    <mergeCell ref="F55:F56"/>
    <mergeCell ref="C57:D58"/>
    <mergeCell ref="F57:F58"/>
    <mergeCell ref="C59:D60"/>
    <mergeCell ref="I9:I10"/>
    <mergeCell ref="J9:J10"/>
    <mergeCell ref="G21:G22"/>
    <mergeCell ref="H21:H22"/>
    <mergeCell ref="I21:I22"/>
    <mergeCell ref="J21:J22"/>
    <mergeCell ref="C74:D74"/>
    <mergeCell ref="C75:D75"/>
    <mergeCell ref="C76:D76"/>
    <mergeCell ref="F59:F60"/>
    <mergeCell ref="F44:F45"/>
    <mergeCell ref="C39:D39"/>
    <mergeCell ref="C40:D40"/>
    <mergeCell ref="C41:D41"/>
    <mergeCell ref="F21:F22"/>
    <mergeCell ref="C23:D23"/>
    <mergeCell ref="C24:D24"/>
    <mergeCell ref="C25:D26"/>
    <mergeCell ref="F25:F26"/>
    <mergeCell ref="C27:D27"/>
    <mergeCell ref="C17:D17"/>
    <mergeCell ref="C18:D18"/>
    <mergeCell ref="C19:D19"/>
    <mergeCell ref="G35:G36"/>
    <mergeCell ref="H35:H36"/>
    <mergeCell ref="I35:I36"/>
    <mergeCell ref="J35:J36"/>
    <mergeCell ref="G44:G45"/>
    <mergeCell ref="H44:H45"/>
    <mergeCell ref="I44:I45"/>
    <mergeCell ref="J44:J45"/>
    <mergeCell ref="G25:G26"/>
    <mergeCell ref="H25:H26"/>
    <mergeCell ref="I25:I26"/>
    <mergeCell ref="J25:J26"/>
    <mergeCell ref="G31:G32"/>
    <mergeCell ref="H31:H32"/>
    <mergeCell ref="I31:I32"/>
    <mergeCell ref="J31:J32"/>
    <mergeCell ref="G51:G52"/>
    <mergeCell ref="H51:H52"/>
    <mergeCell ref="I51:I52"/>
    <mergeCell ref="J51:J52"/>
    <mergeCell ref="G53:G54"/>
    <mergeCell ref="H53:H54"/>
    <mergeCell ref="I53:I54"/>
    <mergeCell ref="J53:J54"/>
    <mergeCell ref="G47:G48"/>
    <mergeCell ref="H47:H48"/>
    <mergeCell ref="I47:I48"/>
    <mergeCell ref="J47:J48"/>
    <mergeCell ref="G49:G50"/>
    <mergeCell ref="H49:H50"/>
    <mergeCell ref="I49:I50"/>
    <mergeCell ref="J49:J50"/>
    <mergeCell ref="J61:J62"/>
    <mergeCell ref="G55:G56"/>
    <mergeCell ref="H55:H56"/>
    <mergeCell ref="I55:I56"/>
    <mergeCell ref="J55:J56"/>
    <mergeCell ref="G57:G58"/>
    <mergeCell ref="H57:H58"/>
    <mergeCell ref="I57:I58"/>
    <mergeCell ref="J57:J58"/>
    <mergeCell ref="L9:L10"/>
    <mergeCell ref="G69:G70"/>
    <mergeCell ref="H69:H70"/>
    <mergeCell ref="I69:I70"/>
    <mergeCell ref="J69:J70"/>
    <mergeCell ref="G72:G73"/>
    <mergeCell ref="H72:H73"/>
    <mergeCell ref="I72:I73"/>
    <mergeCell ref="J72:J73"/>
    <mergeCell ref="G63:G64"/>
    <mergeCell ref="H63:H64"/>
    <mergeCell ref="I63:I64"/>
    <mergeCell ref="J63:J64"/>
    <mergeCell ref="G67:G68"/>
    <mergeCell ref="H67:H68"/>
    <mergeCell ref="I67:I68"/>
    <mergeCell ref="J67:J68"/>
    <mergeCell ref="G59:G60"/>
    <mergeCell ref="H59:H60"/>
    <mergeCell ref="I59:I60"/>
    <mergeCell ref="J59:J60"/>
    <mergeCell ref="G61:G62"/>
    <mergeCell ref="H61:H62"/>
    <mergeCell ref="I61:I62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N12"/>
  <sheetViews>
    <sheetView zoomScale="115" zoomScaleNormal="115" workbookViewId="0">
      <selection activeCell="F17" sqref="F17"/>
    </sheetView>
  </sheetViews>
  <sheetFormatPr defaultRowHeight="16.5"/>
  <cols>
    <col min="1" max="1" width="3.75" customWidth="1"/>
    <col min="2" max="2" width="25.375" customWidth="1"/>
    <col min="12" max="12" width="10.625" customWidth="1"/>
  </cols>
  <sheetData>
    <row r="2" spans="2:14" ht="30" customHeight="1">
      <c r="B2" s="182" t="s">
        <v>147</v>
      </c>
      <c r="C2" s="183"/>
      <c r="D2" s="183"/>
      <c r="E2" s="184"/>
    </row>
    <row r="3" spans="2:14" ht="24.75" customHeight="1">
      <c r="B3" s="20" t="s">
        <v>101</v>
      </c>
      <c r="C3" s="41" t="s">
        <v>137</v>
      </c>
      <c r="D3" s="33">
        <v>30</v>
      </c>
      <c r="E3" s="19">
        <v>50</v>
      </c>
      <c r="F3" s="19">
        <v>70</v>
      </c>
      <c r="G3" s="19">
        <v>100</v>
      </c>
      <c r="H3" s="19">
        <v>150</v>
      </c>
      <c r="I3" s="19">
        <v>200</v>
      </c>
      <c r="J3" s="19">
        <v>300</v>
      </c>
      <c r="K3" s="19">
        <v>400</v>
      </c>
      <c r="L3" s="19">
        <v>500</v>
      </c>
      <c r="M3" s="19">
        <v>700</v>
      </c>
      <c r="N3" s="19" t="s">
        <v>102</v>
      </c>
    </row>
    <row r="4" spans="2:14" ht="24.75" customHeight="1">
      <c r="B4" s="19" t="s">
        <v>98</v>
      </c>
      <c r="C4" s="33">
        <v>10</v>
      </c>
      <c r="D4" s="33">
        <v>14</v>
      </c>
      <c r="E4" s="19">
        <v>17</v>
      </c>
      <c r="F4" s="19">
        <v>24</v>
      </c>
      <c r="G4" s="19">
        <v>28</v>
      </c>
      <c r="H4" s="19">
        <v>30</v>
      </c>
      <c r="I4" s="19">
        <v>37</v>
      </c>
      <c r="J4" s="19">
        <v>38</v>
      </c>
      <c r="K4" s="19">
        <v>38</v>
      </c>
      <c r="L4" s="19">
        <v>39</v>
      </c>
      <c r="M4" s="19">
        <v>45</v>
      </c>
      <c r="N4" s="19">
        <v>54</v>
      </c>
    </row>
    <row r="5" spans="2:14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2:14" s="6" customFormat="1" ht="30" customHeight="1">
      <c r="B6" s="182" t="s">
        <v>148</v>
      </c>
      <c r="C6" s="185"/>
      <c r="D6" s="186"/>
      <c r="E6" s="22"/>
      <c r="F6" s="22"/>
      <c r="G6" s="22"/>
      <c r="H6" s="22"/>
      <c r="I6" s="22"/>
      <c r="J6" s="22"/>
      <c r="K6" s="22"/>
      <c r="L6" s="22"/>
    </row>
    <row r="7" spans="2:14" s="6" customFormat="1" ht="22.5" customHeight="1">
      <c r="B7" s="19" t="s">
        <v>103</v>
      </c>
      <c r="C7" s="188">
        <f>IF(입력!C4&lt;=10,입력!C4,IF(입력!C4&lt;=30,30,IF(입력!C4&lt;=50,50,IF(입력!C4&lt;=70,70,IF(입력!C4&lt;=100,100,IF(입력!C4&lt;=150,150,IF(입력!C4&lt;=200,200,IF(입력!C4&lt;=300,300,IF(입력!C4&lt;=400,400,IF(입력!C4&lt;=500,500,IF(입력!C4&lt;=700,700,IF(입력!C4&lt;1000,1000,IF(입력!C4&gt;=1000,입력!C4,)))))))))))))</f>
        <v>200</v>
      </c>
      <c r="D7" s="188"/>
      <c r="E7" s="22"/>
      <c r="F7" s="22"/>
      <c r="G7" s="22"/>
      <c r="H7" s="22"/>
      <c r="I7" s="22"/>
      <c r="J7" s="22"/>
      <c r="K7" s="22"/>
      <c r="L7" s="22"/>
    </row>
    <row r="8" spans="2:14" s="6" customFormat="1" ht="22.5" customHeight="1">
      <c r="B8" s="19" t="s">
        <v>104</v>
      </c>
      <c r="C8" s="188">
        <f>IF(입력!C4&lt;=10,입력!C4,IF(입력!C4&lt;30,10,IF(입력!C4&lt;50,30,IF(입력!C4&lt;70,50,IF(입력!C4&lt;100,70,IF(입력!C4&lt;150,100,IF(입력!C4&lt;200,150,IF(입력!C4&lt;300,200,IF(입력!C4&lt;400,300,IF(입력!C4&lt;500,400,IF(입력!C4&lt;700,500,IF(입력!C4&lt;1000,700,IF(입력!C4&gt;=1000,입력!C4)))))))))))))</f>
        <v>200</v>
      </c>
      <c r="D8" s="188"/>
      <c r="E8" s="22"/>
      <c r="F8" s="22"/>
      <c r="G8" s="22"/>
      <c r="H8" s="22"/>
      <c r="I8" s="22"/>
      <c r="J8" s="22"/>
      <c r="K8" s="22"/>
      <c r="L8" s="22"/>
    </row>
    <row r="9" spans="2:14" s="6" customFormat="1" ht="22.5" customHeight="1">
      <c r="B9" s="19" t="s">
        <v>105</v>
      </c>
      <c r="C9" s="188">
        <f>IF(입력!C4&lt;=10,C4,IF(입력!C4&lt;30,C4,IF(입력!C4&lt;50,D4,IF(입력!C4&lt;70,E4,IF(입력!C4&lt;100,F4,IF(입력!C4&lt;150,G4,IF(입력!C4&lt;200,H4,IF(입력!C4&lt;300,I4,IF(입력!C4&lt;400,J4,IF(입력!C4&lt;500,K4,IF(입력!C4&lt;700,L4,IF(입력!C4&lt;1000,M4,IF(입력!C4&gt;=1000,N4)))))))))))))</f>
        <v>37</v>
      </c>
      <c r="D9" s="188"/>
      <c r="E9" s="22"/>
      <c r="F9" s="22"/>
      <c r="G9" s="22"/>
      <c r="H9" s="22"/>
      <c r="I9" s="22"/>
      <c r="J9" s="22"/>
      <c r="K9" s="22"/>
      <c r="L9" s="22"/>
    </row>
    <row r="10" spans="2:14" s="6" customFormat="1" ht="22.5" customHeight="1">
      <c r="B10" s="19" t="s">
        <v>106</v>
      </c>
      <c r="C10" s="188">
        <f>IF(입력!C4&lt;=10,C4,IF(입력!C4&lt;=30,D4,IF(입력!C4&lt;=50,E4,IF(입력!C4&lt;=70,F4,IF(입력!C4&lt;=100,G4,IF(입력!C4&lt;=150,H4,IF(입력!C4&lt;=200,I4,IF(입력!C4&lt;=300,J4,IF(입력!C4&lt;=400,K4,IF(입력!C4&lt;=500,L4,IF(입력!C4&lt;=700,M4,IF(입력!C4&lt;1000,N4,IF(입력!C4&gt;=1000,N4)))))))))))))</f>
        <v>37</v>
      </c>
      <c r="D10" s="188"/>
      <c r="E10" s="22"/>
      <c r="F10" s="22"/>
      <c r="G10" s="22"/>
      <c r="H10" s="22"/>
      <c r="I10" s="22"/>
      <c r="J10" s="22"/>
      <c r="K10" s="22"/>
      <c r="L10" s="22"/>
    </row>
    <row r="11" spans="2:14" s="6" customFormat="1" ht="22.5" customHeight="1">
      <c r="B11" s="70" t="s">
        <v>98</v>
      </c>
      <c r="C11" s="189">
        <f>IFERROR((C9-(((입력!C4-C8)*(C9-C10))/(C7-C8))),IF(OR(입력!C4=30,50,70,100,150,200,300,400,500,700),C9))</f>
        <v>37</v>
      </c>
      <c r="D11" s="189"/>
      <c r="E11" s="22"/>
      <c r="F11" s="22"/>
      <c r="G11" s="22"/>
      <c r="H11" s="22"/>
      <c r="I11" s="22"/>
      <c r="J11" s="22"/>
      <c r="K11" s="22"/>
      <c r="L11" s="22"/>
    </row>
    <row r="12" spans="2:14" ht="23.25" customHeight="1">
      <c r="B12" s="70" t="s">
        <v>99</v>
      </c>
      <c r="C12" s="187">
        <f>((C11-입력!C9)/C11)*0.1</f>
        <v>3.5135135135135137E-2</v>
      </c>
      <c r="D12" s="187"/>
      <c r="E12" s="21"/>
      <c r="F12" s="21"/>
      <c r="G12" s="21"/>
      <c r="H12" s="21"/>
      <c r="I12" s="21"/>
      <c r="J12" s="21"/>
      <c r="K12" s="21"/>
      <c r="L12" s="21"/>
    </row>
  </sheetData>
  <mergeCells count="8">
    <mergeCell ref="B2:E2"/>
    <mergeCell ref="B6:D6"/>
    <mergeCell ref="C12:D12"/>
    <mergeCell ref="C7:D7"/>
    <mergeCell ref="C8:D8"/>
    <mergeCell ref="C9:D9"/>
    <mergeCell ref="C10:D10"/>
    <mergeCell ref="C11:D1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유의사항</vt:lpstr>
      <vt:lpstr>입력</vt:lpstr>
      <vt:lpstr>산출결과</vt:lpstr>
      <vt:lpstr>건설사업관리기술인 노임가격</vt:lpstr>
      <vt:lpstr>투입인원수</vt:lpstr>
      <vt:lpstr>평균건설사업관리기간</vt:lpstr>
      <vt:lpstr>Sheet1</vt:lpstr>
      <vt:lpstr>산출결과!Print_Area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정책법제팀</dc:creator>
  <cp:lastModifiedBy>Windows User</cp:lastModifiedBy>
  <cp:lastPrinted>2020-05-19T01:16:38Z</cp:lastPrinted>
  <dcterms:created xsi:type="dcterms:W3CDTF">2020-05-11T04:17:07Z</dcterms:created>
  <dcterms:modified xsi:type="dcterms:W3CDTF">2022-03-14T05:45:16Z</dcterms:modified>
</cp:coreProperties>
</file>